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 Van Truong\Desktop\"/>
    </mc:Choice>
  </mc:AlternateContent>
  <bookViews>
    <workbookView xWindow="0" yWindow="0" windowWidth="20490" windowHeight="7650"/>
  </bookViews>
  <sheets>
    <sheet name="chia phòn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9" i="3" l="1"/>
  <c r="B339" i="3"/>
  <c r="D336" i="3"/>
  <c r="B336" i="3"/>
  <c r="D274" i="3"/>
  <c r="B274" i="3"/>
  <c r="D273" i="3"/>
  <c r="B273" i="3"/>
  <c r="D143" i="3"/>
  <c r="B143" i="3"/>
  <c r="D272" i="3"/>
  <c r="B272" i="3"/>
  <c r="D188" i="3"/>
  <c r="B188" i="3"/>
  <c r="D365" i="3"/>
  <c r="B365" i="3"/>
  <c r="D124" i="3"/>
  <c r="B124" i="3"/>
  <c r="D187" i="3"/>
  <c r="B187" i="3"/>
  <c r="D67" i="3"/>
  <c r="B67" i="3"/>
  <c r="D389" i="3"/>
  <c r="B389" i="3"/>
  <c r="D186" i="3"/>
  <c r="B186" i="3"/>
  <c r="D271" i="3"/>
  <c r="B271" i="3"/>
  <c r="D270" i="3"/>
  <c r="B270" i="3"/>
  <c r="D66" i="3"/>
  <c r="B66" i="3"/>
  <c r="D38" i="3"/>
  <c r="B38" i="3"/>
  <c r="D65" i="3"/>
  <c r="B65" i="3"/>
  <c r="D64" i="3"/>
  <c r="B64" i="3"/>
  <c r="D123" i="3"/>
  <c r="B123" i="3"/>
  <c r="D37" i="3"/>
  <c r="B37" i="3"/>
  <c r="D275" i="3"/>
  <c r="B275" i="3"/>
  <c r="D211" i="3"/>
  <c r="B211" i="3"/>
  <c r="D122" i="3"/>
  <c r="B122" i="3"/>
  <c r="D63" i="3"/>
  <c r="B63" i="3"/>
  <c r="D210" i="3"/>
  <c r="B210" i="3"/>
  <c r="D147" i="3"/>
  <c r="B147" i="3"/>
  <c r="D36" i="3"/>
  <c r="B36" i="3"/>
  <c r="D89" i="3"/>
  <c r="B89" i="3"/>
  <c r="D269" i="3"/>
  <c r="B269" i="3"/>
  <c r="D185" i="3"/>
  <c r="B185" i="3"/>
  <c r="D62" i="3"/>
  <c r="B62" i="3"/>
  <c r="D61" i="3"/>
  <c r="B61" i="3"/>
  <c r="D335" i="3"/>
  <c r="B335" i="3"/>
  <c r="D60" i="3"/>
  <c r="B60" i="3"/>
  <c r="D268" i="3"/>
  <c r="B268" i="3"/>
  <c r="D35" i="3"/>
  <c r="B35" i="3"/>
  <c r="D125" i="3"/>
  <c r="B125" i="3"/>
  <c r="D334" i="3"/>
  <c r="B334" i="3"/>
  <c r="D88" i="3"/>
  <c r="B88" i="3"/>
  <c r="D184" i="3"/>
  <c r="B184" i="3"/>
  <c r="D34" i="3"/>
  <c r="B34" i="3"/>
  <c r="D183" i="3"/>
  <c r="B183" i="3"/>
  <c r="D142" i="3"/>
  <c r="B142" i="3"/>
  <c r="D182" i="3"/>
  <c r="B182" i="3"/>
  <c r="D267" i="3"/>
  <c r="B267" i="3"/>
  <c r="D333" i="3"/>
  <c r="B333" i="3"/>
  <c r="D364" i="3"/>
  <c r="B364" i="3"/>
  <c r="D332" i="3"/>
  <c r="B332" i="3"/>
  <c r="D33" i="3"/>
  <c r="B33" i="3"/>
  <c r="D130" i="3"/>
  <c r="B130" i="3"/>
  <c r="D266" i="3"/>
  <c r="B266" i="3"/>
  <c r="D265" i="3"/>
  <c r="B265" i="3"/>
  <c r="D376" i="3"/>
  <c r="B376" i="3"/>
  <c r="D264" i="3"/>
  <c r="B264" i="3"/>
  <c r="D331" i="3"/>
  <c r="B331" i="3"/>
  <c r="D330" i="3"/>
  <c r="B330" i="3"/>
  <c r="D263" i="3"/>
  <c r="B263" i="3"/>
  <c r="D32" i="3"/>
  <c r="B32" i="3"/>
  <c r="D262" i="3"/>
  <c r="B262" i="3"/>
  <c r="D329" i="3"/>
  <c r="B329" i="3"/>
  <c r="D363" i="3"/>
  <c r="B363" i="3"/>
  <c r="D261" i="3"/>
  <c r="B261" i="3"/>
  <c r="D87" i="3"/>
  <c r="B87" i="3"/>
  <c r="D106" i="3"/>
  <c r="B106" i="3"/>
  <c r="D260" i="3"/>
  <c r="B260" i="3"/>
  <c r="D86" i="3"/>
  <c r="B86" i="3"/>
  <c r="D259" i="3"/>
  <c r="B259" i="3"/>
  <c r="D209" i="3"/>
  <c r="B209" i="3"/>
  <c r="D258" i="3"/>
  <c r="B258" i="3"/>
  <c r="D388" i="3"/>
  <c r="B388" i="3"/>
  <c r="D31" i="3"/>
  <c r="B31" i="3"/>
  <c r="D362" i="3"/>
  <c r="B362" i="3"/>
  <c r="D328" i="3"/>
  <c r="B328" i="3"/>
  <c r="D146" i="3"/>
  <c r="B146" i="3"/>
  <c r="D327" i="3"/>
  <c r="B327" i="3"/>
  <c r="D30" i="3"/>
  <c r="B30" i="3"/>
  <c r="D257" i="3"/>
  <c r="B257" i="3"/>
  <c r="D208" i="3"/>
  <c r="B208" i="3"/>
  <c r="D141" i="3"/>
  <c r="B141" i="3"/>
  <c r="D326" i="3"/>
  <c r="B326" i="3"/>
  <c r="D105" i="3"/>
  <c r="B105" i="3"/>
  <c r="D140" i="3"/>
  <c r="B140" i="3"/>
  <c r="D207" i="3"/>
  <c r="B207" i="3"/>
  <c r="D325" i="3"/>
  <c r="B325" i="3"/>
  <c r="D256" i="3"/>
  <c r="B256" i="3"/>
  <c r="D139" i="3"/>
  <c r="B139" i="3"/>
  <c r="D121" i="3"/>
  <c r="B121" i="3"/>
  <c r="D69" i="3"/>
  <c r="B69" i="3"/>
  <c r="D324" i="3"/>
  <c r="B324" i="3"/>
  <c r="D387" i="3"/>
  <c r="B387" i="3"/>
  <c r="D120" i="3"/>
  <c r="B120" i="3"/>
  <c r="D255" i="3"/>
  <c r="B255" i="3"/>
  <c r="D254" i="3"/>
  <c r="B254" i="3"/>
  <c r="D323" i="3"/>
  <c r="B323" i="3"/>
  <c r="D253" i="3"/>
  <c r="B253" i="3"/>
  <c r="D59" i="3"/>
  <c r="B59" i="3"/>
  <c r="D206" i="3"/>
  <c r="B206" i="3"/>
  <c r="D361" i="3"/>
  <c r="B361" i="3"/>
  <c r="D205" i="3"/>
  <c r="B205" i="3"/>
  <c r="D90" i="3"/>
  <c r="B90" i="3"/>
  <c r="D119" i="3"/>
  <c r="B119" i="3"/>
  <c r="D181" i="3"/>
  <c r="B181" i="3"/>
  <c r="D29" i="3"/>
  <c r="B29" i="3"/>
  <c r="D118" i="3"/>
  <c r="B118" i="3"/>
  <c r="D252" i="3"/>
  <c r="B252" i="3"/>
  <c r="D386" i="3"/>
  <c r="B386" i="3"/>
  <c r="D180" i="3"/>
  <c r="B180" i="3"/>
  <c r="D360" i="3"/>
  <c r="B360" i="3"/>
  <c r="D28" i="3"/>
  <c r="B28" i="3"/>
  <c r="D104" i="3"/>
  <c r="B104" i="3"/>
  <c r="D145" i="3"/>
  <c r="B145" i="3"/>
  <c r="D85" i="3"/>
  <c r="B85" i="3"/>
  <c r="D204" i="3"/>
  <c r="B204" i="3"/>
  <c r="D179" i="3"/>
  <c r="B179" i="3"/>
  <c r="D251" i="3"/>
  <c r="B251" i="3"/>
  <c r="D27" i="3"/>
  <c r="B27" i="3"/>
  <c r="D178" i="3"/>
  <c r="B178" i="3"/>
  <c r="D177" i="3"/>
  <c r="B177" i="3"/>
  <c r="D26" i="3"/>
  <c r="B26" i="3"/>
  <c r="D58" i="3"/>
  <c r="B58" i="3"/>
  <c r="D84" i="3"/>
  <c r="B84" i="3"/>
  <c r="D138" i="3"/>
  <c r="B138" i="3"/>
  <c r="D144" i="3"/>
  <c r="B144" i="3"/>
  <c r="D322" i="3"/>
  <c r="B322" i="3"/>
  <c r="D176" i="3"/>
  <c r="B176" i="3"/>
  <c r="D25" i="3"/>
  <c r="B25" i="3"/>
  <c r="D137" i="3"/>
  <c r="B137" i="3"/>
  <c r="D83" i="3"/>
  <c r="B83" i="3"/>
  <c r="D321" i="3"/>
  <c r="B321" i="3"/>
  <c r="D245" i="3"/>
  <c r="B245" i="3"/>
  <c r="D175" i="3"/>
  <c r="B175" i="3"/>
  <c r="D320" i="3"/>
  <c r="B320" i="3"/>
  <c r="D82" i="3"/>
  <c r="B82" i="3"/>
  <c r="D203" i="3"/>
  <c r="B203" i="3"/>
  <c r="D359" i="3"/>
  <c r="B359" i="3"/>
  <c r="D174" i="3"/>
  <c r="B174" i="3"/>
  <c r="D319" i="3"/>
  <c r="B319" i="3"/>
  <c r="D202" i="3"/>
  <c r="B202" i="3"/>
  <c r="D129" i="3"/>
  <c r="B129" i="3"/>
  <c r="D24" i="3"/>
  <c r="B24" i="3"/>
  <c r="D23" i="3"/>
  <c r="B23" i="3"/>
  <c r="D385" i="3"/>
  <c r="B385" i="3"/>
  <c r="D358" i="3"/>
  <c r="B358" i="3"/>
  <c r="D244" i="3"/>
  <c r="B244" i="3"/>
  <c r="D390" i="3"/>
  <c r="B390" i="3"/>
  <c r="D173" i="3"/>
  <c r="B173" i="3"/>
  <c r="D196" i="3"/>
  <c r="B196" i="3"/>
  <c r="D22" i="3"/>
  <c r="B22" i="3"/>
  <c r="D338" i="3"/>
  <c r="B338" i="3"/>
  <c r="D243" i="3"/>
  <c r="B243" i="3"/>
  <c r="D172" i="3"/>
  <c r="B172" i="3"/>
  <c r="D242" i="3"/>
  <c r="B242" i="3"/>
  <c r="D241" i="3"/>
  <c r="B241" i="3"/>
  <c r="D171" i="3"/>
  <c r="B171" i="3"/>
  <c r="D132" i="3"/>
  <c r="B132" i="3"/>
  <c r="D279" i="3"/>
  <c r="B279" i="3"/>
  <c r="D57" i="3"/>
  <c r="B57" i="3"/>
  <c r="D318" i="3"/>
  <c r="B318" i="3"/>
  <c r="D278" i="3"/>
  <c r="B278" i="3"/>
  <c r="D56" i="3"/>
  <c r="B56" i="3"/>
  <c r="D55" i="3"/>
  <c r="B55" i="3"/>
  <c r="D21" i="3"/>
  <c r="B21" i="3"/>
  <c r="D170" i="3"/>
  <c r="B170" i="3"/>
  <c r="D240" i="3"/>
  <c r="B240" i="3"/>
  <c r="D98" i="3"/>
  <c r="B98" i="3"/>
  <c r="D117" i="3"/>
  <c r="B117" i="3"/>
  <c r="D107" i="3"/>
  <c r="B107" i="3"/>
  <c r="D169" i="3"/>
  <c r="B169" i="3"/>
  <c r="D81" i="3"/>
  <c r="B81" i="3"/>
  <c r="D80" i="3"/>
  <c r="B80" i="3"/>
  <c r="D128" i="3"/>
  <c r="B128" i="3"/>
  <c r="D317" i="3"/>
  <c r="B317" i="3"/>
  <c r="D20" i="3"/>
  <c r="B20" i="3"/>
  <c r="D239" i="3"/>
  <c r="B239" i="3"/>
  <c r="D136" i="3"/>
  <c r="B136" i="3"/>
  <c r="D168" i="3"/>
  <c r="B168" i="3"/>
  <c r="D384" i="3"/>
  <c r="B384" i="3"/>
  <c r="D316" i="3"/>
  <c r="B316" i="3"/>
  <c r="D167" i="3"/>
  <c r="B167" i="3"/>
  <c r="D19" i="3"/>
  <c r="B19" i="3"/>
  <c r="D49" i="3"/>
  <c r="B49" i="3"/>
  <c r="D383" i="3"/>
  <c r="B383" i="3"/>
  <c r="D238" i="3"/>
  <c r="B238" i="3"/>
  <c r="D97" i="3"/>
  <c r="B97" i="3"/>
  <c r="D382" i="3"/>
  <c r="B382" i="3"/>
  <c r="D195" i="3"/>
  <c r="B195" i="3"/>
  <c r="D131" i="3"/>
  <c r="B131" i="3"/>
  <c r="D315" i="3"/>
  <c r="B315" i="3"/>
  <c r="D357" i="3"/>
  <c r="B357" i="3"/>
  <c r="D135" i="3"/>
  <c r="B135" i="3"/>
  <c r="D356" i="3"/>
  <c r="B356" i="3"/>
  <c r="D116" i="3"/>
  <c r="B116" i="3"/>
  <c r="D314" i="3"/>
  <c r="B314" i="3"/>
  <c r="D313" i="3"/>
  <c r="B313" i="3"/>
  <c r="D134" i="3"/>
  <c r="B134" i="3"/>
  <c r="D194" i="3"/>
  <c r="B194" i="3"/>
  <c r="D312" i="3"/>
  <c r="B312" i="3"/>
  <c r="D237" i="3"/>
  <c r="B237" i="3"/>
  <c r="D236" i="3"/>
  <c r="B236" i="3"/>
  <c r="D96" i="3"/>
  <c r="B96" i="3"/>
  <c r="D127" i="3"/>
  <c r="B127" i="3"/>
  <c r="D115" i="3"/>
  <c r="B115" i="3"/>
  <c r="D311" i="3"/>
  <c r="B311" i="3"/>
  <c r="D310" i="3"/>
  <c r="B310" i="3"/>
  <c r="D337" i="3"/>
  <c r="B337" i="3"/>
  <c r="D355" i="3"/>
  <c r="B355" i="3"/>
  <c r="D309" i="3"/>
  <c r="B309" i="3"/>
  <c r="D166" i="3"/>
  <c r="B166" i="3"/>
  <c r="D375" i="3"/>
  <c r="B375" i="3"/>
  <c r="D79" i="3"/>
  <c r="B79" i="3"/>
  <c r="D374" i="3"/>
  <c r="B374" i="3"/>
  <c r="D165" i="3"/>
  <c r="B165" i="3"/>
  <c r="D308" i="3"/>
  <c r="B308" i="3"/>
  <c r="D164" i="3"/>
  <c r="B164" i="3"/>
  <c r="D18" i="3"/>
  <c r="B18" i="3"/>
  <c r="D235" i="3"/>
  <c r="B235" i="3"/>
  <c r="D234" i="3"/>
  <c r="B234" i="3"/>
  <c r="D307" i="3"/>
  <c r="B307" i="3"/>
  <c r="D373" i="3"/>
  <c r="B373" i="3"/>
  <c r="D381" i="3"/>
  <c r="B381" i="3"/>
  <c r="D306" i="3"/>
  <c r="B306" i="3"/>
  <c r="D233" i="3"/>
  <c r="B233" i="3"/>
  <c r="D232" i="3"/>
  <c r="B232" i="3"/>
  <c r="D48" i="3"/>
  <c r="B48" i="3"/>
  <c r="D231" i="3"/>
  <c r="B231" i="3"/>
  <c r="D17" i="3"/>
  <c r="B17" i="3"/>
  <c r="D154" i="3"/>
  <c r="B154" i="3"/>
  <c r="D372" i="3"/>
  <c r="B372" i="3"/>
  <c r="D16" i="3"/>
  <c r="B16" i="3"/>
  <c r="D133" i="3"/>
  <c r="B133" i="3"/>
  <c r="D95" i="3"/>
  <c r="B95" i="3"/>
  <c r="D354" i="3"/>
  <c r="B354" i="3"/>
  <c r="D371" i="3"/>
  <c r="B371" i="3"/>
  <c r="D305" i="3"/>
  <c r="B305" i="3"/>
  <c r="D380" i="3"/>
  <c r="B380" i="3"/>
  <c r="D304" i="3"/>
  <c r="B304" i="3"/>
  <c r="D303" i="3"/>
  <c r="B303" i="3"/>
  <c r="D68" i="3"/>
  <c r="B68" i="3"/>
  <c r="D78" i="3"/>
  <c r="B78" i="3"/>
  <c r="D302" i="3"/>
  <c r="B302" i="3"/>
  <c r="D230" i="3"/>
  <c r="B230" i="3"/>
  <c r="D47" i="3"/>
  <c r="B47" i="3"/>
  <c r="D77" i="3"/>
  <c r="B77" i="3"/>
  <c r="D163" i="3"/>
  <c r="B163" i="3"/>
  <c r="D114" i="3"/>
  <c r="B114" i="3"/>
  <c r="D301" i="3"/>
  <c r="B301" i="3"/>
  <c r="D94" i="3"/>
  <c r="B94" i="3"/>
  <c r="D229" i="3"/>
  <c r="B229" i="3"/>
  <c r="D228" i="3"/>
  <c r="B228" i="3"/>
  <c r="D300" i="3"/>
  <c r="B300" i="3"/>
  <c r="D193" i="3"/>
  <c r="B193" i="3"/>
  <c r="D46" i="3"/>
  <c r="B46" i="3"/>
  <c r="D76" i="3"/>
  <c r="B76" i="3"/>
  <c r="D162" i="3"/>
  <c r="B162" i="3"/>
  <c r="D370" i="3"/>
  <c r="B370" i="3"/>
  <c r="D45" i="3"/>
  <c r="B45" i="3"/>
  <c r="D93" i="3"/>
  <c r="B93" i="3"/>
  <c r="D227" i="3"/>
  <c r="B227" i="3"/>
  <c r="D108" i="3"/>
  <c r="B108" i="3"/>
  <c r="D44" i="3"/>
  <c r="B44" i="3"/>
  <c r="D113" i="3"/>
  <c r="B113" i="3"/>
  <c r="D294" i="3"/>
  <c r="B294" i="3"/>
  <c r="D226" i="3"/>
  <c r="B226" i="3"/>
  <c r="D353" i="3"/>
  <c r="B353" i="3"/>
  <c r="D225" i="3"/>
  <c r="B225" i="3"/>
  <c r="D293" i="3"/>
  <c r="B293" i="3"/>
  <c r="D352" i="3"/>
  <c r="B352" i="3"/>
  <c r="D192" i="3"/>
  <c r="B192" i="3"/>
  <c r="D224" i="3"/>
  <c r="B224" i="3"/>
  <c r="D351" i="3"/>
  <c r="B351" i="3"/>
  <c r="D292" i="3"/>
  <c r="B292" i="3"/>
  <c r="D15" i="3"/>
  <c r="B15" i="3"/>
  <c r="D75" i="3"/>
  <c r="B75" i="3"/>
  <c r="D291" i="3"/>
  <c r="B291" i="3"/>
  <c r="D161" i="3"/>
  <c r="B161" i="3"/>
  <c r="D74" i="3"/>
  <c r="B74" i="3"/>
  <c r="D369" i="3"/>
  <c r="B369" i="3"/>
  <c r="D160" i="3"/>
  <c r="B160" i="3"/>
  <c r="D73" i="3"/>
  <c r="B73" i="3"/>
  <c r="D223" i="3"/>
  <c r="B223" i="3"/>
  <c r="D43" i="3"/>
  <c r="B43" i="3"/>
  <c r="D350" i="3"/>
  <c r="B350" i="3"/>
  <c r="D349" i="3"/>
  <c r="B349" i="3"/>
  <c r="D72" i="3"/>
  <c r="B72" i="3"/>
  <c r="D222" i="3"/>
  <c r="B222" i="3"/>
  <c r="D343" i="3"/>
  <c r="B343" i="3"/>
  <c r="D290" i="3"/>
  <c r="B290" i="3"/>
  <c r="D289" i="3"/>
  <c r="B289" i="3"/>
  <c r="D221" i="3"/>
  <c r="B221" i="3"/>
  <c r="D220" i="3"/>
  <c r="B220" i="3"/>
  <c r="D219" i="3"/>
  <c r="B219" i="3"/>
  <c r="D288" i="3"/>
  <c r="B288" i="3"/>
  <c r="D287" i="3"/>
  <c r="B287" i="3"/>
  <c r="D277" i="3"/>
  <c r="B277" i="3"/>
  <c r="D112" i="3"/>
  <c r="B112" i="3"/>
  <c r="D218" i="3"/>
  <c r="B218" i="3"/>
  <c r="D191" i="3"/>
  <c r="B191" i="3"/>
  <c r="D14" i="3"/>
  <c r="B14" i="3"/>
  <c r="D217" i="3"/>
  <c r="B217" i="3"/>
  <c r="D13" i="3"/>
  <c r="B13" i="3"/>
  <c r="D190" i="3"/>
  <c r="B190" i="3"/>
  <c r="D159" i="3"/>
  <c r="B159" i="3"/>
  <c r="D216" i="3"/>
  <c r="B216" i="3"/>
  <c r="D71" i="3"/>
  <c r="B71" i="3"/>
  <c r="D12" i="3"/>
  <c r="B12" i="3"/>
  <c r="D215" i="3"/>
  <c r="B215" i="3"/>
  <c r="D11" i="3"/>
  <c r="B11" i="3"/>
  <c r="D111" i="3"/>
  <c r="B111" i="3"/>
  <c r="D10" i="3"/>
  <c r="B10" i="3"/>
  <c r="D368" i="3"/>
  <c r="B368" i="3"/>
  <c r="D126" i="3"/>
  <c r="B126" i="3"/>
  <c r="D42" i="3"/>
  <c r="B42" i="3"/>
  <c r="D286" i="3"/>
  <c r="B286" i="3"/>
  <c r="D342" i="3"/>
  <c r="B342" i="3"/>
  <c r="D92" i="3"/>
  <c r="B92" i="3"/>
  <c r="D41" i="3"/>
  <c r="B41" i="3"/>
  <c r="D70" i="3"/>
  <c r="B70" i="3"/>
  <c r="D158" i="3"/>
  <c r="B158" i="3"/>
  <c r="D285" i="3"/>
  <c r="B285" i="3"/>
  <c r="D157" i="3"/>
  <c r="B157" i="3"/>
  <c r="D214" i="3"/>
  <c r="B214" i="3"/>
  <c r="D40" i="3"/>
  <c r="B40" i="3"/>
  <c r="D153" i="3"/>
  <c r="B153" i="3"/>
  <c r="D9" i="3"/>
  <c r="B9" i="3"/>
  <c r="D284" i="3"/>
  <c r="B284" i="3"/>
  <c r="D283" i="3"/>
  <c r="B283" i="3"/>
  <c r="D8" i="3"/>
  <c r="B8" i="3"/>
  <c r="D276" i="3"/>
  <c r="B276" i="3"/>
  <c r="D379" i="3"/>
  <c r="B379" i="3"/>
  <c r="D7" i="3"/>
  <c r="B7" i="3"/>
  <c r="D6" i="3"/>
  <c r="B6" i="3"/>
  <c r="D39" i="3"/>
  <c r="B39" i="3"/>
  <c r="D110" i="3"/>
  <c r="B110" i="3"/>
  <c r="D282" i="3"/>
  <c r="B282" i="3"/>
  <c r="D213" i="3"/>
  <c r="B213" i="3"/>
  <c r="D281" i="3"/>
  <c r="B281" i="3"/>
  <c r="D378" i="3"/>
  <c r="B378" i="3"/>
  <c r="D341" i="3"/>
  <c r="B341" i="3"/>
  <c r="D280" i="3"/>
  <c r="B280" i="3"/>
  <c r="D156" i="3"/>
  <c r="B156" i="3"/>
  <c r="D155" i="3"/>
  <c r="B155" i="3"/>
  <c r="D91" i="3"/>
  <c r="B91" i="3"/>
  <c r="D367" i="3"/>
  <c r="B367" i="3"/>
  <c r="D212" i="3"/>
  <c r="B212" i="3"/>
  <c r="D377" i="3"/>
  <c r="B377" i="3"/>
  <c r="D366" i="3"/>
  <c r="B366" i="3"/>
  <c r="D340" i="3"/>
  <c r="B340" i="3"/>
  <c r="D109" i="3"/>
  <c r="B109" i="3"/>
  <c r="D189" i="3"/>
  <c r="B189" i="3"/>
</calcChain>
</file>

<file path=xl/sharedStrings.xml><?xml version="1.0" encoding="utf-8"?>
<sst xmlns="http://schemas.openxmlformats.org/spreadsheetml/2006/main" count="1503" uniqueCount="385">
  <si>
    <t>TỈNH HƯNG YÊN NĂM HỌC 2022-2023</t>
  </si>
  <si>
    <t>NĂM HỌC 2022-2023</t>
  </si>
  <si>
    <t>Khóa thi ngày 08/06/2022 và 09/06/2022</t>
  </si>
  <si>
    <t>STT</t>
  </si>
  <si>
    <t>Số báo danh</t>
  </si>
  <si>
    <t>Họ và tên</t>
  </si>
  <si>
    <t>Ngày sinh</t>
  </si>
  <si>
    <t>Giới tính</t>
  </si>
  <si>
    <t>Dân tộc</t>
  </si>
  <si>
    <t>Tổng điểm thi</t>
  </si>
  <si>
    <t>Ghi chú</t>
  </si>
  <si>
    <t>Tên trường THCS</t>
  </si>
  <si>
    <t>Mai Bảo Anh</t>
  </si>
  <si>
    <t>Nữ</t>
  </si>
  <si>
    <t>Kinh</t>
  </si>
  <si>
    <t>TH, THCS Lý Thường Kiệt</t>
  </si>
  <si>
    <t>Mai Lương Phương Anh</t>
  </si>
  <si>
    <t>Nguyễn Minh Anh</t>
  </si>
  <si>
    <t>Nguyễn Thị Phương Anh</t>
  </si>
  <si>
    <t>Trịnh Tuấn Anh</t>
  </si>
  <si>
    <t>Nam</t>
  </si>
  <si>
    <t>Vũ Trâm Anh</t>
  </si>
  <si>
    <t>Nguyễn Minh Ánh</t>
  </si>
  <si>
    <t>Đặng Thái Bảo</t>
  </si>
  <si>
    <t>Vũ Thị Bình</t>
  </si>
  <si>
    <t>Đỗ Tùng Dương</t>
  </si>
  <si>
    <t>Khúc Quang Hiếu</t>
  </si>
  <si>
    <t>Lê Trung Hiếu</t>
  </si>
  <si>
    <t>Trịnh Thị Huế</t>
  </si>
  <si>
    <t>Đỗ Thị Lê</t>
  </si>
  <si>
    <t>Lương Mỹ Linh</t>
  </si>
  <si>
    <t>Lương Hoàng Long</t>
  </si>
  <si>
    <t>Nguyễn Đức Quang Minh</t>
  </si>
  <si>
    <t>Trịnh Thảo My</t>
  </si>
  <si>
    <t>Bùi Hải Nam</t>
  </si>
  <si>
    <t>Lương Vũ Đức Nguyên</t>
  </si>
  <si>
    <t>Phạm Yến Nhi</t>
  </si>
  <si>
    <t>Dương Mạnh Phát</t>
  </si>
  <si>
    <t>Nguyễn Thị Thu Phương</t>
  </si>
  <si>
    <t>Nguyễn Thị Lệ Quyên</t>
  </si>
  <si>
    <t>Nguyễn Thị Phương Thảo</t>
  </si>
  <si>
    <t>Lê Thị Hồng Thắm</t>
  </si>
  <si>
    <t>Nguyễn Đức Tiệp</t>
  </si>
  <si>
    <t>Mai Huyền Trang</t>
  </si>
  <si>
    <t>Trịnh Thị Trang</t>
  </si>
  <si>
    <t>Nguyễn Văn Trụ</t>
  </si>
  <si>
    <t>Nguyễn Hoàng Tùng</t>
  </si>
  <si>
    <t>Đỗ Hồng Vân</t>
  </si>
  <si>
    <t>KInh</t>
  </si>
  <si>
    <t>Vũ Thị Hà Vi</t>
  </si>
  <si>
    <t>Lưu Thị Lan Anh</t>
  </si>
  <si>
    <t>TH, THCS Minh Châu</t>
  </si>
  <si>
    <t>Nguyễn Thị Quỳnh Anh</t>
  </si>
  <si>
    <t>Phan Thị Minh Anh</t>
  </si>
  <si>
    <t>Phạm Thị Ngọc Anh</t>
  </si>
  <si>
    <t>Nguyễn Thị Bích Diệp</t>
  </si>
  <si>
    <t>Phan Tiến Đạt</t>
  </si>
  <si>
    <t>Phan Huỳnh Điệp</t>
  </si>
  <si>
    <t>Nguyễn Văn Đức</t>
  </si>
  <si>
    <t>Phan Thị Hánh</t>
  </si>
  <si>
    <t>Nguyễn Văn Hiếu</t>
  </si>
  <si>
    <t>Nguyễn Tùng Lâm</t>
  </si>
  <si>
    <t>Nguyễn Duy Long</t>
  </si>
  <si>
    <t>Phạm Văn Long</t>
  </si>
  <si>
    <t>Lưu Văn Lượng</t>
  </si>
  <si>
    <t>Phạm Thị Yến Nhi</t>
  </si>
  <si>
    <t>Phan Ngọc Quý</t>
  </si>
  <si>
    <t>Nguyễn Đức Trường</t>
  </si>
  <si>
    <t>Nguyễn Anh Trượng</t>
  </si>
  <si>
    <t>Nguyễn Văn Tuân</t>
  </si>
  <si>
    <t>Nguyễn Trần Bảo Tú</t>
  </si>
  <si>
    <t>Phan Thị Diệu Vi</t>
  </si>
  <si>
    <t>Phạm Thị Vi</t>
  </si>
  <si>
    <t>Phan Quốc Việt</t>
  </si>
  <si>
    <t>Hoàng Thị Thảo Vy</t>
  </si>
  <si>
    <t>Phùng Tài Vũ Hải</t>
  </si>
  <si>
    <t>THCS Chu Mạnh Trinh</t>
  </si>
  <si>
    <t>Chu Đình Thành</t>
  </si>
  <si>
    <t>THCS Dân Tiến</t>
  </si>
  <si>
    <t>Phan Quốc Anh</t>
  </si>
  <si>
    <t>THCS Đoàn Thị Điểm</t>
  </si>
  <si>
    <t>Nguyễn Ngọc Ánh</t>
  </si>
  <si>
    <t>Trần Mạnh Cường</t>
  </si>
  <si>
    <t>Bùi Thị Thùy Dung</t>
  </si>
  <si>
    <t>Phạm Quang Duy</t>
  </si>
  <si>
    <t>Phạm Quang Dũng</t>
  </si>
  <si>
    <t>Nguyễn Minh Đức</t>
  </si>
  <si>
    <t>Nguyễn Mạnh Hào</t>
  </si>
  <si>
    <t>Nguyễn Hoàng Hải</t>
  </si>
  <si>
    <t>Hoàng Trần Huy</t>
  </si>
  <si>
    <t>Nguyễn Trần Khánh Linh</t>
  </si>
  <si>
    <t>Phạm Khánh Linh</t>
  </si>
  <si>
    <t>Dương Thị Yến Ngọc</t>
  </si>
  <si>
    <t>Lê Đức Nguyên</t>
  </si>
  <si>
    <t>Nguyễn Bảo Nhi</t>
  </si>
  <si>
    <t>Dương Hà Phương</t>
  </si>
  <si>
    <t>Hoàng Thị Minh Thư</t>
  </si>
  <si>
    <t>Nguyễn Thủy Tiên</t>
  </si>
  <si>
    <t>Vũ Thu Trang</t>
  </si>
  <si>
    <t>Nguyễn Thị Ánh Tuyết</t>
  </si>
  <si>
    <t>Đặng Hoàng Anh</t>
  </si>
  <si>
    <t>THCS Đồng Than</t>
  </si>
  <si>
    <t>Phạm Quang Anh</t>
  </si>
  <si>
    <t>Phạm Hải Đăng</t>
  </si>
  <si>
    <t>Nguyễn Thị Hương Giang</t>
  </si>
  <si>
    <t>Chu Đức Hiếu</t>
  </si>
  <si>
    <t>Đỗ Mạnh Hưng</t>
  </si>
  <si>
    <t>Lê Thị Phương Lan</t>
  </si>
  <si>
    <t>Trương Ngọc Linh</t>
  </si>
  <si>
    <t>Nguyễn Minh Phương</t>
  </si>
  <si>
    <t>Nguyễn Phương Thảo</t>
  </si>
  <si>
    <t>Phạm Anh Thư</t>
  </si>
  <si>
    <t>Hoàng Thị Quỳnh</t>
  </si>
  <si>
    <t>THCS Đồng Tiến</t>
  </si>
  <si>
    <t>Trần Thị Diệu Linh</t>
  </si>
  <si>
    <t>THCS Hoàn Long</t>
  </si>
  <si>
    <t>Thành Văn Đạt</t>
  </si>
  <si>
    <t>THCS Liên Nghĩa</t>
  </si>
  <si>
    <t>Lưu Trường An</t>
  </si>
  <si>
    <t>THCS Liêu Xá</t>
  </si>
  <si>
    <t>Luyện Thị Lan Anh</t>
  </si>
  <si>
    <t>Vũ Thị Quỳnh Anh</t>
  </si>
  <si>
    <t>Nguyễn Thị Linh Chi</t>
  </si>
  <si>
    <t>Phan Thành Đạt</t>
  </si>
  <si>
    <t>Trần Huệ Giang</t>
  </si>
  <si>
    <t>Nguyễn Thị Khánh Huyền</t>
  </si>
  <si>
    <t>Lưu Ngọc Khánh</t>
  </si>
  <si>
    <t>Trần Thị Mỹ Linh</t>
  </si>
  <si>
    <t>Lưu Thị Tố Quyên</t>
  </si>
  <si>
    <t>Đỗ Như Quỳnh</t>
  </si>
  <si>
    <t>Trần Thanh Tâm</t>
  </si>
  <si>
    <t>Văn Đức Thành</t>
  </si>
  <si>
    <t>Trần Thị Minh Tươi</t>
  </si>
  <si>
    <t>Trần Thị Thanh Vân</t>
  </si>
  <si>
    <t>Trịnh Hà Vy</t>
  </si>
  <si>
    <t>Lê Quý Trung</t>
  </si>
  <si>
    <t>THCS Nghĩa Hiệp</t>
  </si>
  <si>
    <t>Quản Nhật Anh</t>
  </si>
  <si>
    <t>THCS Nghĩa Trụ</t>
  </si>
  <si>
    <t>Vũ Mạnh Hùng</t>
  </si>
  <si>
    <t>Nguyễn Phương Linh</t>
  </si>
  <si>
    <t>Lương Hoàng Nam</t>
  </si>
  <si>
    <t>Lê Trần Thu Trang</t>
  </si>
  <si>
    <t>Đinh Thị Kiều</t>
  </si>
  <si>
    <t>THCS Ngọc Long</t>
  </si>
  <si>
    <t>Nguyễn Trần Hương Ly</t>
  </si>
  <si>
    <t>Đào Đức Hiếu</t>
  </si>
  <si>
    <t>THCS Nguyễn Văn Linh</t>
  </si>
  <si>
    <t>Lưu Thị Hường</t>
  </si>
  <si>
    <t>Phạm Đức Khôi</t>
  </si>
  <si>
    <t>Đỗ Thị Linh</t>
  </si>
  <si>
    <t>Tày</t>
  </si>
  <si>
    <t>Lê Hải Nguyên</t>
  </si>
  <si>
    <t>Lê Thị Mai Nhi</t>
  </si>
  <si>
    <t>Lương Thế Thái</t>
  </si>
  <si>
    <t>Phạm Thị Mai Trang</t>
  </si>
  <si>
    <t>Nguyễn Hải Yến</t>
  </si>
  <si>
    <t>Đỗ Ánh Nguyệt</t>
  </si>
  <si>
    <t>THCS Tân Lập</t>
  </si>
  <si>
    <t>Lưu Thị Mai Phương</t>
  </si>
  <si>
    <t>Phan Thị Thanh Thảo</t>
  </si>
  <si>
    <t>Trần Ngọc Tùng</t>
  </si>
  <si>
    <t>THCS Tân Quang</t>
  </si>
  <si>
    <t>Lê Thị Thanh Hiếu</t>
  </si>
  <si>
    <t>Đặng Mai Anh</t>
  </si>
  <si>
    <t>THCS Tân Việt</t>
  </si>
  <si>
    <t>Đặng Thế Anh</t>
  </si>
  <si>
    <t>Nguyễn Thị Vân Anh</t>
  </si>
  <si>
    <t>Phan Duy Anh</t>
  </si>
  <si>
    <t>Nguyễn Tiến Duy</t>
  </si>
  <si>
    <t>Đoàn Trung Dũng</t>
  </si>
  <si>
    <t>Hoàng Xuân Đức</t>
  </si>
  <si>
    <t>Nguyễn Thị Thu Hà</t>
  </si>
  <si>
    <t>Nguyễn Thị Kim Huệ</t>
  </si>
  <si>
    <t>Đào Gia Huy</t>
  </si>
  <si>
    <t>Nguyễn Đình Huy</t>
  </si>
  <si>
    <t>Đặng Thị Nhật Lệ</t>
  </si>
  <si>
    <t>Đặng Thị Khánh Linh</t>
  </si>
  <si>
    <t>Trần Phương Linh</t>
  </si>
  <si>
    <t>Đặng Quốc Long</t>
  </si>
  <si>
    <t>Vũ Thị Cẩm Ly</t>
  </si>
  <si>
    <t>Vũ Diệu Mai</t>
  </si>
  <si>
    <t>Đặng Thị Trà My</t>
  </si>
  <si>
    <t>Đặng Hằng Nga</t>
  </si>
  <si>
    <t>Nguyễn Thị Ngọc</t>
  </si>
  <si>
    <t>Nguyễn Thảo Nguyên</t>
  </si>
  <si>
    <t>Phạm Thị Hồng Nhung</t>
  </si>
  <si>
    <t>Bùi Thị Tôn Nữ</t>
  </si>
  <si>
    <t>Nguyễn Hữu Phú</t>
  </si>
  <si>
    <t>Lương Nhật Quang</t>
  </si>
  <si>
    <t>Lương Ngọc Quyền</t>
  </si>
  <si>
    <t>Nguyễn Vũ Huyền Trang</t>
  </si>
  <si>
    <t>Trịnh Ngọc Trang</t>
  </si>
  <si>
    <t>Vũ Thị Quỳnh Trang</t>
  </si>
  <si>
    <t>Đào Duy Tuấn</t>
  </si>
  <si>
    <t>Bùi Bảo Vy</t>
  </si>
  <si>
    <t>Nguyễn Hà Vy</t>
  </si>
  <si>
    <t>Phạm Thị Kim Xuyến</t>
  </si>
  <si>
    <t>Chu Bích Quỳnh Anh</t>
  </si>
  <si>
    <t>THCS Thanh Long</t>
  </si>
  <si>
    <t>Lê Thị Trung Anh</t>
  </si>
  <si>
    <t>Hà Ngọc Ánh</t>
  </si>
  <si>
    <t>Hà Gia Bảo</t>
  </si>
  <si>
    <t>kinh</t>
  </si>
  <si>
    <t>Nguyễn Phương Chi</t>
  </si>
  <si>
    <t>Tạ Văn Chiến</t>
  </si>
  <si>
    <t>Nguyễn Thị Tuyết Chinh</t>
  </si>
  <si>
    <t>Lê Thành Công</t>
  </si>
  <si>
    <t>Nguyễn Đăng Cường</t>
  </si>
  <si>
    <t>Phạm Ngọc Diệp</t>
  </si>
  <si>
    <t>Nguyễn Hữu Dương</t>
  </si>
  <si>
    <t>Chu Tuấn Đạt</t>
  </si>
  <si>
    <t>Nguyễn Tiến Đạt</t>
  </si>
  <si>
    <t>Nguyễn Huy Đăng</t>
  </si>
  <si>
    <t>Lê Minh Giang</t>
  </si>
  <si>
    <t>Nguyễn Thị Hoài Giang</t>
  </si>
  <si>
    <t>Hoàng Xuân Hải</t>
  </si>
  <si>
    <t>Nguyễn Đình Hiếu</t>
  </si>
  <si>
    <t>Nguyễn Công Hiển</t>
  </si>
  <si>
    <t>Nguyễn Đăng Hiệp</t>
  </si>
  <si>
    <t>Trần Thị Hồng</t>
  </si>
  <si>
    <t>Hà Văn Hợp</t>
  </si>
  <si>
    <t>Nguyễn Tuấn Hưng</t>
  </si>
  <si>
    <t>Phạm Khánh Hưng</t>
  </si>
  <si>
    <t>Tạ Thị Lan</t>
  </si>
  <si>
    <t>Lê Thị Thùy Linh</t>
  </si>
  <si>
    <t>Nguyễn Thị Phương Loan</t>
  </si>
  <si>
    <t>Đỗ Quỳnh Mai</t>
  </si>
  <si>
    <t>Trần Ngọc Mai</t>
  </si>
  <si>
    <t>Nguyễn Đức Mạnh</t>
  </si>
  <si>
    <t>Hoàng Trà My</t>
  </si>
  <si>
    <t>Vũ Hồng Ngọc</t>
  </si>
  <si>
    <t>Chu Mộc Phong</t>
  </si>
  <si>
    <t>Phạm Văn Quang</t>
  </si>
  <si>
    <t>Nguyễn Văn Sáng</t>
  </si>
  <si>
    <t>Nguyễn Văn Sơn</t>
  </si>
  <si>
    <t>Nguyễn Thanh Tâm</t>
  </si>
  <si>
    <t>Ngô Văn Thái</t>
  </si>
  <si>
    <t>Nguyễn Thị Thu</t>
  </si>
  <si>
    <t>Nguyễn Thị Thu Thủy</t>
  </si>
  <si>
    <t>Lê Đức Tiến</t>
  </si>
  <si>
    <t>Phạm Toàn Tiến</t>
  </si>
  <si>
    <t>Chu Trọng Tín</t>
  </si>
  <si>
    <t>Chu Thị Thùy Trang</t>
  </si>
  <si>
    <t>Đỗ Thùy Trang</t>
  </si>
  <si>
    <t>Lê Thị Thu Trang</t>
  </si>
  <si>
    <t>Nguyễn Thùy Trang</t>
  </si>
  <si>
    <t>Hoàng Việt Trường</t>
  </si>
  <si>
    <t>Hà Thế Vinh</t>
  </si>
  <si>
    <t>Nguyễn Duy Vinh</t>
  </si>
  <si>
    <t>Lê Phan Hải Yến</t>
  </si>
  <si>
    <t>Nguyễn Thị Yến</t>
  </si>
  <si>
    <t>Nguyễn Thị Hải Yến</t>
  </si>
  <si>
    <t>Chu Thị Hồng Vân</t>
  </si>
  <si>
    <t>THCS Thị trấn Văn Giang</t>
  </si>
  <si>
    <t>Nguyễn Huyền Anh</t>
  </si>
  <si>
    <t>THCS Trung Hòa</t>
  </si>
  <si>
    <t>Nguyễn Thị Yến Chi</t>
  </si>
  <si>
    <t>Nguyễn Đại Lộc</t>
  </si>
  <si>
    <t>Ngô Trần Khánh Ly</t>
  </si>
  <si>
    <t>Đặng Thị Mai Anh</t>
  </si>
  <si>
    <t>THCS Trung Hưng</t>
  </si>
  <si>
    <t>Hoàng Kỳ Anh</t>
  </si>
  <si>
    <t>Luyện Quỳnh Anh</t>
  </si>
  <si>
    <t>Nguyễn Phương Anh</t>
  </si>
  <si>
    <t>Nguyễn Văn Tuấn Anh</t>
  </si>
  <si>
    <t>Nguyễn Vũ Quỳnh Chi</t>
  </si>
  <si>
    <t>Nguyễn Văn Chiến</t>
  </si>
  <si>
    <t>Nguyễn Thành Công</t>
  </si>
  <si>
    <t>Nguyễn Kim Cúc</t>
  </si>
  <si>
    <t>Nguyễn Tiến Dũng</t>
  </si>
  <si>
    <t>Hoàng Thùy Dương</t>
  </si>
  <si>
    <t>Nguyễn Văn Linh Đan</t>
  </si>
  <si>
    <t>Nguyễn Tuấn Đạt</t>
  </si>
  <si>
    <t>Dương Trường Giang</t>
  </si>
  <si>
    <t>Nguyễn Đức Hải</t>
  </si>
  <si>
    <t>Nguyễn Hoàn Hảo</t>
  </si>
  <si>
    <t>Bùi Đức Hạnh</t>
  </si>
  <si>
    <t>Đặng Thúy Hiền</t>
  </si>
  <si>
    <t>Nguyễn Hoàng Hiệp</t>
  </si>
  <si>
    <t>An Việt Hoàng</t>
  </si>
  <si>
    <t>Nguyễn Thị Minh Huệ</t>
  </si>
  <si>
    <t>Nguyễn Nhật Huy</t>
  </si>
  <si>
    <t>Trương Quốc Huy</t>
  </si>
  <si>
    <t>Đỗ Thanh Huyền</t>
  </si>
  <si>
    <t>Đặng Minh Hương</t>
  </si>
  <si>
    <t>Luyện Bá Kha</t>
  </si>
  <si>
    <t>Nguyễn Đạt Khang</t>
  </si>
  <si>
    <t>Phạm Trung Kiên</t>
  </si>
  <si>
    <t>Nguyễn Bảo Liêm</t>
  </si>
  <si>
    <t>Nguyễn Mai Linh</t>
  </si>
  <si>
    <t>Nguyễn Thế Lộc</t>
  </si>
  <si>
    <t>Nguyễn Phương Nam</t>
  </si>
  <si>
    <t>Nguyễn Khánh Ngọc</t>
  </si>
  <si>
    <t>Đặng Hồng Nguyên</t>
  </si>
  <si>
    <t>Nguyễn Thị Thảo Nguyên</t>
  </si>
  <si>
    <t>Nguyễn Ngọc Sơn</t>
  </si>
  <si>
    <t>Đỗ Hà Tây</t>
  </si>
  <si>
    <t>Đặng Thị Phương Thảo</t>
  </si>
  <si>
    <t>Nguyễn Thu Thảo</t>
  </si>
  <si>
    <t>Trần Thị Minh Thảo</t>
  </si>
  <si>
    <t>Nguyễn Văn Tiến</t>
  </si>
  <si>
    <t>Cáp Tuấn Toàn</t>
  </si>
  <si>
    <t>Luyện Văn Tới</t>
  </si>
  <si>
    <t>Nguyễn Thị Huyền Trang</t>
  </si>
  <si>
    <t>Nguyễn Thu Trang</t>
  </si>
  <si>
    <t>Luyện Duy Trọng</t>
  </si>
  <si>
    <t>Nguyễn Thiên Trường</t>
  </si>
  <si>
    <t>Phùng Đức Quang Huy</t>
  </si>
  <si>
    <t>THCS Trưng Trắc</t>
  </si>
  <si>
    <t>Ngô Quang Minh</t>
  </si>
  <si>
    <t>Đỗ Trường An</t>
  </si>
  <si>
    <t>THCS TT Yên Mỹ</t>
  </si>
  <si>
    <t>Nguyễn Trần Bách</t>
  </si>
  <si>
    <t>Luyện Thị Mai Chi</t>
  </si>
  <si>
    <t>Phan Tùng Dương</t>
  </si>
  <si>
    <t>Vũ Minh Đức</t>
  </si>
  <si>
    <t>Nguyễn Thị Thu Hương</t>
  </si>
  <si>
    <t>Đỗ Phạm Tuấn Kiệt</t>
  </si>
  <si>
    <t>Phạm Anh Minh</t>
  </si>
  <si>
    <t>Nguyễn Hải Nam</t>
  </si>
  <si>
    <t>Phạm Trung Nghĩa</t>
  </si>
  <si>
    <t>Đặng Hồng Phúc</t>
  </si>
  <si>
    <t>Lương Thị Phương Quỳnh</t>
  </si>
  <si>
    <t>Vũ Ngọc Như Quỳnh</t>
  </si>
  <si>
    <t>Luyện Thị Phương Thảo</t>
  </si>
  <si>
    <t>Nguyễn Thanh Thảo</t>
  </si>
  <si>
    <t>Đỗ Anh Tú</t>
  </si>
  <si>
    <t>Lưu Thị Tú Uyên</t>
  </si>
  <si>
    <t>Nguyễn Văn An</t>
  </si>
  <si>
    <t>THCS Việt Cường</t>
  </si>
  <si>
    <t>Đỗ Thị Lan Anh</t>
  </si>
  <si>
    <t>Phạm Quỳnh Anh</t>
  </si>
  <si>
    <t>Nguyễn Thị Kim Cúc</t>
  </si>
  <si>
    <t>Đinh Ngọc Diệp</t>
  </si>
  <si>
    <t>Nguyễn Thị Diệp</t>
  </si>
  <si>
    <t>Lê Thị Thuỳ Dương</t>
  </si>
  <si>
    <t>Trần Hải Dương</t>
  </si>
  <si>
    <t>Ngô Văn Đạt</t>
  </si>
  <si>
    <t>Vũ Thanh Hiền</t>
  </si>
  <si>
    <t>Phạm Gia Huy</t>
  </si>
  <si>
    <t>Phạm Gia Khải</t>
  </si>
  <si>
    <t>Trần Đức Khuê</t>
  </si>
  <si>
    <t>Nguyễn Thị Kiều My</t>
  </si>
  <si>
    <t>Ngô Thanh Nga</t>
  </si>
  <si>
    <t>Phạm Thị Thanh Phương</t>
  </si>
  <si>
    <t>Phạm Thị Thuý Quỳnh</t>
  </si>
  <si>
    <t>Trương Thị Phương Thảo</t>
  </si>
  <si>
    <t>Nguyễn Mạnh Tiến</t>
  </si>
  <si>
    <t>Nguyễn Thị Mai Trang</t>
  </si>
  <si>
    <t>Nguyễn Thị Kim Xuyến</t>
  </si>
  <si>
    <t>Nguyễn Viết An</t>
  </si>
  <si>
    <t>THCS Vĩnh Khúc</t>
  </si>
  <si>
    <t>Chu Thị Phương Anh</t>
  </si>
  <si>
    <t>Trịnh Thạch Anh</t>
  </si>
  <si>
    <t>Phạm Khánh Duy</t>
  </si>
  <si>
    <t>Đặng Tiến Độ</t>
  </si>
  <si>
    <t>Lê Thu Hiền</t>
  </si>
  <si>
    <t>Lê Minh Hiếu</t>
  </si>
  <si>
    <t>Đỗ Việt Hoà</t>
  </si>
  <si>
    <t>Đỗ Quốc Huy</t>
  </si>
  <si>
    <t>Khúc Quang Huy</t>
  </si>
  <si>
    <t>Đặng Thị Thùy Trang</t>
  </si>
  <si>
    <t>Phùng Hoàng An</t>
  </si>
  <si>
    <t>THCS Yên Phú</t>
  </si>
  <si>
    <t>Hoàng Đức Anh</t>
  </si>
  <si>
    <t>Ngô Công Tuấn Anh</t>
  </si>
  <si>
    <t>Trịnh Phương Hiếu</t>
  </si>
  <si>
    <t>Phùng Chí Hoàng</t>
  </si>
  <si>
    <t>Lê Thị Lan</t>
  </si>
  <si>
    <t>Nguyễn Văn Lâm</t>
  </si>
  <si>
    <t>Hoa Thị Liễu</t>
  </si>
  <si>
    <t>Phạm Thị Trà My</t>
  </si>
  <si>
    <t>Ngô Nhật Quang</t>
  </si>
  <si>
    <t>Trần Minh Tấn</t>
  </si>
  <si>
    <t>Phạm Minh Thiện</t>
  </si>
  <si>
    <t>Hoàng Thị Hà Vy</t>
  </si>
  <si>
    <t>Hoàng Thị Trà My</t>
  </si>
  <si>
    <t xml:space="preserve">                            DANH SÁCH NHẬP HỌC                                                     PHÒNG:1</t>
  </si>
  <si>
    <t xml:space="preserve">                            DANH SÁCH NHẬP HỌC                                                     PHÒNG: 2</t>
  </si>
  <si>
    <t xml:space="preserve">                            DANH SÁCH NHẬP HỌC                                                     PHÒNG: 3</t>
  </si>
  <si>
    <t xml:space="preserve">                            DANH SÁCH NHẬP HỌC                                                     PHÒNG: 4</t>
  </si>
  <si>
    <t xml:space="preserve">                            DANH SÁCH NHẬP HỌC                                                     PHÒNG: 5</t>
  </si>
  <si>
    <t xml:space="preserve">                            DANH SÁCH NHẬP HỌC                                                     PHÒNG: 6</t>
  </si>
  <si>
    <t xml:space="preserve">                            DANH SÁCH NHẬP HỌC                                                     PHÒNG: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</si>
</sst>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tabSelected="1" topLeftCell="A315" workbookViewId="0">
      <selection activeCell="M337" sqref="M337"/>
    </sheetView>
  </sheetViews>
  <sheetFormatPr defaultRowHeight="14.25" x14ac:dyDescent="0.2"/>
  <cols>
    <col min="1" max="1" width="4.375" customWidth="1"/>
    <col min="2" max="2" width="6.75" customWidth="1"/>
    <col min="3" max="3" width="20" customWidth="1"/>
    <col min="5" max="6" width="4.625" customWidth="1"/>
    <col min="7" max="7" width="0.125" customWidth="1"/>
    <col min="8" max="8" width="18.875" customWidth="1"/>
    <col min="9" max="9" width="16.25" customWidth="1"/>
  </cols>
  <sheetData>
    <row r="1" spans="1:9" ht="15" x14ac:dyDescent="0.25">
      <c r="A1" s="17" t="s">
        <v>0</v>
      </c>
      <c r="B1" s="17"/>
      <c r="C1" s="17"/>
      <c r="D1" s="17"/>
      <c r="E1" s="17"/>
      <c r="F1" s="17"/>
      <c r="G1" s="12"/>
      <c r="H1" s="12"/>
      <c r="I1" s="1"/>
    </row>
    <row r="2" spans="1:9" ht="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"/>
    </row>
    <row r="3" spans="1:9" ht="15" x14ac:dyDescent="0.25">
      <c r="A3" s="17" t="s">
        <v>2</v>
      </c>
      <c r="B3" s="17"/>
      <c r="C3" s="17"/>
      <c r="D3" s="17"/>
      <c r="E3" s="17"/>
      <c r="F3" s="17"/>
      <c r="G3" s="12"/>
      <c r="H3" s="12"/>
      <c r="I3" s="1"/>
    </row>
    <row r="4" spans="1:9" x14ac:dyDescent="0.2">
      <c r="A4" s="18" t="s">
        <v>378</v>
      </c>
      <c r="B4" s="19"/>
      <c r="C4" s="19"/>
      <c r="D4" s="19"/>
      <c r="E4" s="19"/>
      <c r="F4" s="19"/>
      <c r="G4" s="19"/>
      <c r="H4" s="19"/>
      <c r="I4" s="19"/>
    </row>
    <row r="5" spans="1:9" ht="185.25" x14ac:dyDescent="0.2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11</v>
      </c>
      <c r="I5" s="13" t="s">
        <v>10</v>
      </c>
    </row>
    <row r="6" spans="1:9" ht="16.5" customHeight="1" x14ac:dyDescent="0.25">
      <c r="A6" s="4">
        <v>1</v>
      </c>
      <c r="B6" s="4" t="str">
        <f>TEXT("000698","000000")</f>
        <v>000698</v>
      </c>
      <c r="C6" s="4" t="s">
        <v>12</v>
      </c>
      <c r="D6" s="4" t="str">
        <f>TEXT("27/12/2007","dd/mm/yyyy")</f>
        <v>27/12/2007</v>
      </c>
      <c r="E6" s="4" t="s">
        <v>13</v>
      </c>
      <c r="F6" s="4" t="s">
        <v>14</v>
      </c>
      <c r="G6" s="4">
        <v>23.8</v>
      </c>
      <c r="H6" s="5" t="s">
        <v>15</v>
      </c>
    </row>
    <row r="7" spans="1:9" ht="16.5" customHeight="1" x14ac:dyDescent="0.25">
      <c r="A7" s="4">
        <v>2</v>
      </c>
      <c r="B7" s="6" t="str">
        <f>TEXT("000701","000000")</f>
        <v>000701</v>
      </c>
      <c r="C7" s="6" t="s">
        <v>16</v>
      </c>
      <c r="D7" s="6" t="str">
        <f>TEXT("27/02/2007","dd/mm/yyyy")</f>
        <v>27/02/2007</v>
      </c>
      <c r="E7" s="6" t="s">
        <v>13</v>
      </c>
      <c r="F7" s="6" t="s">
        <v>14</v>
      </c>
      <c r="G7" s="6">
        <v>25.05</v>
      </c>
      <c r="H7" s="7" t="s">
        <v>15</v>
      </c>
    </row>
    <row r="8" spans="1:9" ht="16.5" customHeight="1" x14ac:dyDescent="0.25">
      <c r="A8" s="4">
        <v>3</v>
      </c>
      <c r="B8" s="6" t="str">
        <f>TEXT("000890","000000")</f>
        <v>000890</v>
      </c>
      <c r="C8" s="6" t="s">
        <v>17</v>
      </c>
      <c r="D8" s="6" t="str">
        <f>TEXT("23/11/2007","dd/mm/yyyy")</f>
        <v>23/11/2007</v>
      </c>
      <c r="E8" s="6" t="s">
        <v>13</v>
      </c>
      <c r="F8" s="6" t="s">
        <v>14</v>
      </c>
      <c r="G8" s="6">
        <v>19.7</v>
      </c>
      <c r="H8" s="7" t="s">
        <v>15</v>
      </c>
    </row>
    <row r="9" spans="1:9" ht="16.5" customHeight="1" x14ac:dyDescent="0.25">
      <c r="A9" s="4">
        <v>4</v>
      </c>
      <c r="B9" s="6" t="str">
        <f>TEXT("001080","000000")</f>
        <v>001080</v>
      </c>
      <c r="C9" s="6" t="s">
        <v>18</v>
      </c>
      <c r="D9" s="6" t="str">
        <f>TEXT("14/05/2007","dd/mm/yyyy")</f>
        <v>14/05/2007</v>
      </c>
      <c r="E9" s="6" t="s">
        <v>13</v>
      </c>
      <c r="F9" s="6" t="s">
        <v>14</v>
      </c>
      <c r="G9" s="6">
        <v>18.600000000000001</v>
      </c>
      <c r="H9" s="7" t="s">
        <v>15</v>
      </c>
    </row>
    <row r="10" spans="1:9" ht="16.5" customHeight="1" x14ac:dyDescent="0.25">
      <c r="A10" s="4">
        <v>5</v>
      </c>
      <c r="B10" s="6" t="str">
        <f>TEXT("001574","000000")</f>
        <v>001574</v>
      </c>
      <c r="C10" s="6" t="s">
        <v>19</v>
      </c>
      <c r="D10" s="6" t="str">
        <f>TEXT("30/04/2007","dd/mm/yyyy")</f>
        <v>30/04/2007</v>
      </c>
      <c r="E10" s="6" t="s">
        <v>20</v>
      </c>
      <c r="F10" s="6" t="s">
        <v>14</v>
      </c>
      <c r="G10" s="6">
        <v>17.8</v>
      </c>
      <c r="H10" s="7" t="s">
        <v>15</v>
      </c>
    </row>
    <row r="11" spans="1:9" ht="16.5" customHeight="1" x14ac:dyDescent="0.25">
      <c r="A11" s="4">
        <v>6</v>
      </c>
      <c r="B11" s="6" t="str">
        <f>TEXT("001697","000000")</f>
        <v>001697</v>
      </c>
      <c r="C11" s="6" t="s">
        <v>21</v>
      </c>
      <c r="D11" s="6" t="str">
        <f>TEXT("05/11/2007","dd/mm/yyyy")</f>
        <v>05/11/2007</v>
      </c>
      <c r="E11" s="6" t="s">
        <v>13</v>
      </c>
      <c r="F11" s="6" t="s">
        <v>14</v>
      </c>
      <c r="G11" s="6">
        <v>18.25</v>
      </c>
      <c r="H11" s="7" t="s">
        <v>15</v>
      </c>
    </row>
    <row r="12" spans="1:9" ht="16.5" customHeight="1" x14ac:dyDescent="0.25">
      <c r="A12" s="4">
        <v>7</v>
      </c>
      <c r="B12" s="6" t="str">
        <f>TEXT("001803","000000")</f>
        <v>001803</v>
      </c>
      <c r="C12" s="6" t="s">
        <v>22</v>
      </c>
      <c r="D12" s="6" t="str">
        <f>TEXT("23/11/2007","dd/mm/yyyy")</f>
        <v>23/11/2007</v>
      </c>
      <c r="E12" s="6" t="s">
        <v>13</v>
      </c>
      <c r="F12" s="6" t="s">
        <v>14</v>
      </c>
      <c r="G12" s="6">
        <v>17.3</v>
      </c>
      <c r="H12" s="7" t="s">
        <v>15</v>
      </c>
    </row>
    <row r="13" spans="1:9" ht="16.5" customHeight="1" x14ac:dyDescent="0.25">
      <c r="A13" s="4">
        <v>8</v>
      </c>
      <c r="B13" s="6" t="str">
        <f>TEXT("002000","000000")</f>
        <v>002000</v>
      </c>
      <c r="C13" s="6" t="s">
        <v>23</v>
      </c>
      <c r="D13" s="6" t="str">
        <f>TEXT("30/12/2007","dd/mm/yyyy")</f>
        <v>30/12/2007</v>
      </c>
      <c r="E13" s="6" t="s">
        <v>20</v>
      </c>
      <c r="F13" s="6" t="s">
        <v>14</v>
      </c>
      <c r="G13" s="6">
        <v>18.149999999999999</v>
      </c>
      <c r="H13" s="7" t="s">
        <v>15</v>
      </c>
    </row>
    <row r="14" spans="1:9" ht="16.5" customHeight="1" x14ac:dyDescent="0.25">
      <c r="A14" s="4">
        <v>9</v>
      </c>
      <c r="B14" s="6" t="str">
        <f>TEXT("002204","000000")</f>
        <v>002204</v>
      </c>
      <c r="C14" s="6" t="s">
        <v>24</v>
      </c>
      <c r="D14" s="6" t="str">
        <f>TEXT("08/01/2007","dd/mm/yyyy")</f>
        <v>08/01/2007</v>
      </c>
      <c r="E14" s="6" t="s">
        <v>13</v>
      </c>
      <c r="F14" s="6" t="s">
        <v>14</v>
      </c>
      <c r="G14" s="6">
        <v>17.399999999999999</v>
      </c>
      <c r="H14" s="7" t="s">
        <v>15</v>
      </c>
    </row>
    <row r="15" spans="1:9" ht="16.5" customHeight="1" x14ac:dyDescent="0.25">
      <c r="A15" s="4">
        <v>10</v>
      </c>
      <c r="B15" s="6" t="str">
        <f>TEXT("003561","000000")</f>
        <v>003561</v>
      </c>
      <c r="C15" s="6" t="s">
        <v>25</v>
      </c>
      <c r="D15" s="6" t="str">
        <f>TEXT("28/12/2007","dd/mm/yyyy")</f>
        <v>28/12/2007</v>
      </c>
      <c r="E15" s="6" t="s">
        <v>20</v>
      </c>
      <c r="F15" s="6" t="s">
        <v>14</v>
      </c>
      <c r="G15" s="6">
        <v>16.399999999999999</v>
      </c>
      <c r="H15" s="7" t="s">
        <v>15</v>
      </c>
    </row>
    <row r="16" spans="1:9" ht="16.5" customHeight="1" x14ac:dyDescent="0.25">
      <c r="A16" s="4">
        <v>11</v>
      </c>
      <c r="B16" s="6" t="str">
        <f>TEXT("005579","000000")</f>
        <v>005579</v>
      </c>
      <c r="C16" s="6" t="s">
        <v>26</v>
      </c>
      <c r="D16" s="6" t="str">
        <f>TEXT("18/11/2007","dd/mm/yyyy")</f>
        <v>18/11/2007</v>
      </c>
      <c r="E16" s="6" t="s">
        <v>20</v>
      </c>
      <c r="F16" s="6" t="s">
        <v>14</v>
      </c>
      <c r="G16" s="6">
        <v>19.649999999999999</v>
      </c>
      <c r="H16" s="7" t="s">
        <v>15</v>
      </c>
    </row>
    <row r="17" spans="1:8" ht="16.5" customHeight="1" x14ac:dyDescent="0.25">
      <c r="A17" s="4">
        <v>12</v>
      </c>
      <c r="B17" s="6" t="str">
        <f>TEXT("005591","000000")</f>
        <v>005591</v>
      </c>
      <c r="C17" s="6" t="s">
        <v>27</v>
      </c>
      <c r="D17" s="6" t="str">
        <f>TEXT("05/01/2007","dd/mm/yyyy")</f>
        <v>05/01/2007</v>
      </c>
      <c r="E17" s="6" t="s">
        <v>20</v>
      </c>
      <c r="F17" s="6" t="s">
        <v>14</v>
      </c>
      <c r="G17" s="6">
        <v>17.5</v>
      </c>
      <c r="H17" s="7" t="s">
        <v>15</v>
      </c>
    </row>
    <row r="18" spans="1:8" ht="16.5" customHeight="1" x14ac:dyDescent="0.25">
      <c r="A18" s="4">
        <v>13</v>
      </c>
      <c r="B18" s="6" t="str">
        <f>TEXT("006405","000000")</f>
        <v>006405</v>
      </c>
      <c r="C18" s="6" t="s">
        <v>28</v>
      </c>
      <c r="D18" s="6" t="str">
        <f>TEXT("07/01/2007","dd/mm/yyyy")</f>
        <v>07/01/2007</v>
      </c>
      <c r="E18" s="6" t="s">
        <v>13</v>
      </c>
      <c r="F18" s="6" t="s">
        <v>14</v>
      </c>
      <c r="G18" s="6">
        <v>16.95</v>
      </c>
      <c r="H18" s="7" t="s">
        <v>15</v>
      </c>
    </row>
    <row r="19" spans="1:8" ht="16.5" customHeight="1" x14ac:dyDescent="0.25">
      <c r="A19" s="4">
        <v>14</v>
      </c>
      <c r="B19" s="6" t="str">
        <f>TEXT("008185","000000")</f>
        <v>008185</v>
      </c>
      <c r="C19" s="6" t="s">
        <v>29</v>
      </c>
      <c r="D19" s="6" t="str">
        <f>TEXT("20/09/2007","dd/mm/yyyy")</f>
        <v>20/09/2007</v>
      </c>
      <c r="E19" s="6" t="s">
        <v>13</v>
      </c>
      <c r="F19" s="6" t="s">
        <v>14</v>
      </c>
      <c r="G19" s="6">
        <v>19.2</v>
      </c>
      <c r="H19" s="7" t="s">
        <v>15</v>
      </c>
    </row>
    <row r="20" spans="1:8" ht="16.5" customHeight="1" x14ac:dyDescent="0.25">
      <c r="A20" s="4">
        <v>15</v>
      </c>
      <c r="B20" s="6" t="str">
        <f>TEXT("008524","000000")</f>
        <v>008524</v>
      </c>
      <c r="C20" s="6" t="s">
        <v>30</v>
      </c>
      <c r="D20" s="6" t="str">
        <f>TEXT("07/10/2007","dd/mm/yyyy")</f>
        <v>07/10/2007</v>
      </c>
      <c r="E20" s="6" t="s">
        <v>13</v>
      </c>
      <c r="F20" s="6" t="s">
        <v>14</v>
      </c>
      <c r="G20" s="6">
        <v>17.850000000000001</v>
      </c>
      <c r="H20" s="7" t="s">
        <v>15</v>
      </c>
    </row>
    <row r="21" spans="1:8" ht="16.5" customHeight="1" x14ac:dyDescent="0.25">
      <c r="A21" s="4">
        <v>16</v>
      </c>
      <c r="B21" s="6" t="str">
        <f>TEXT("009172","000000")</f>
        <v>009172</v>
      </c>
      <c r="C21" s="6" t="s">
        <v>31</v>
      </c>
      <c r="D21" s="6" t="str">
        <f>TEXT("03/09/2007","dd/mm/yyyy")</f>
        <v>03/09/2007</v>
      </c>
      <c r="E21" s="6" t="s">
        <v>20</v>
      </c>
      <c r="F21" s="6" t="s">
        <v>14</v>
      </c>
      <c r="G21" s="6">
        <v>24.25</v>
      </c>
      <c r="H21" s="7" t="s">
        <v>15</v>
      </c>
    </row>
    <row r="22" spans="1:8" ht="16.5" customHeight="1" x14ac:dyDescent="0.25">
      <c r="A22" s="4">
        <v>17</v>
      </c>
      <c r="B22" s="6" t="str">
        <f>TEXT("010088","000000")</f>
        <v>010088</v>
      </c>
      <c r="C22" s="6" t="s">
        <v>32</v>
      </c>
      <c r="D22" s="6" t="str">
        <f>TEXT("05/11/2007","dd/mm/yyyy")</f>
        <v>05/11/2007</v>
      </c>
      <c r="E22" s="6" t="s">
        <v>20</v>
      </c>
      <c r="F22" s="6" t="s">
        <v>14</v>
      </c>
      <c r="G22" s="6">
        <v>18.7</v>
      </c>
      <c r="H22" s="7" t="s">
        <v>15</v>
      </c>
    </row>
    <row r="23" spans="1:8" ht="16.5" customHeight="1" x14ac:dyDescent="0.25">
      <c r="A23" s="4">
        <v>18</v>
      </c>
      <c r="B23" s="6" t="str">
        <f>TEXT("010420","000000")</f>
        <v>010420</v>
      </c>
      <c r="C23" s="6" t="s">
        <v>33</v>
      </c>
      <c r="D23" s="6" t="str">
        <f>TEXT("30/09/2007","dd/mm/yyyy")</f>
        <v>30/09/2007</v>
      </c>
      <c r="E23" s="6" t="s">
        <v>13</v>
      </c>
      <c r="F23" s="6" t="s">
        <v>14</v>
      </c>
      <c r="G23" s="6">
        <v>16.75</v>
      </c>
      <c r="H23" s="7" t="s">
        <v>15</v>
      </c>
    </row>
    <row r="24" spans="1:8" ht="16.5" customHeight="1" x14ac:dyDescent="0.25">
      <c r="A24" s="4">
        <v>19</v>
      </c>
      <c r="B24" s="6" t="str">
        <f>TEXT("010445","000000")</f>
        <v>010445</v>
      </c>
      <c r="C24" s="6" t="s">
        <v>34</v>
      </c>
      <c r="D24" s="6" t="str">
        <f>TEXT("06/07/2007","dd/mm/yyyy")</f>
        <v>06/07/2007</v>
      </c>
      <c r="E24" s="6" t="s">
        <v>20</v>
      </c>
      <c r="F24" s="6" t="s">
        <v>14</v>
      </c>
      <c r="G24" s="6">
        <v>18.600000000000001</v>
      </c>
      <c r="H24" s="7" t="s">
        <v>15</v>
      </c>
    </row>
    <row r="25" spans="1:8" ht="16.5" customHeight="1" x14ac:dyDescent="0.25">
      <c r="A25" s="4">
        <v>20</v>
      </c>
      <c r="B25" s="6" t="str">
        <f>TEXT("011132","000000")</f>
        <v>011132</v>
      </c>
      <c r="C25" s="6" t="s">
        <v>35</v>
      </c>
      <c r="D25" s="6" t="str">
        <f>TEXT("26/03/2007","dd/mm/yyyy")</f>
        <v>26/03/2007</v>
      </c>
      <c r="E25" s="6" t="s">
        <v>20</v>
      </c>
      <c r="F25" s="6" t="s">
        <v>14</v>
      </c>
      <c r="G25" s="6">
        <v>19.05</v>
      </c>
      <c r="H25" s="7" t="s">
        <v>15</v>
      </c>
    </row>
    <row r="26" spans="1:8" ht="16.5" customHeight="1" x14ac:dyDescent="0.25">
      <c r="A26" s="4">
        <v>21</v>
      </c>
      <c r="B26" s="6" t="str">
        <f>TEXT("011555","000000")</f>
        <v>011555</v>
      </c>
      <c r="C26" s="6" t="s">
        <v>36</v>
      </c>
      <c r="D26" s="6" t="str">
        <f>TEXT("03/11/2007","dd/mm/yyyy")</f>
        <v>03/11/2007</v>
      </c>
      <c r="E26" s="6" t="s">
        <v>13</v>
      </c>
      <c r="F26" s="6" t="s">
        <v>14</v>
      </c>
      <c r="G26" s="6">
        <v>23.55</v>
      </c>
      <c r="H26" s="7" t="s">
        <v>15</v>
      </c>
    </row>
    <row r="27" spans="1:8" ht="16.5" customHeight="1" x14ac:dyDescent="0.25">
      <c r="A27" s="4">
        <v>22</v>
      </c>
      <c r="B27" s="6" t="str">
        <f>TEXT("011822","000000")</f>
        <v>011822</v>
      </c>
      <c r="C27" s="6" t="s">
        <v>37</v>
      </c>
      <c r="D27" s="6" t="str">
        <f>TEXT("09/03/2007","dd/mm/yyyy")</f>
        <v>09/03/2007</v>
      </c>
      <c r="E27" s="6" t="s">
        <v>20</v>
      </c>
      <c r="F27" s="6" t="s">
        <v>14</v>
      </c>
      <c r="G27" s="6">
        <v>21.7</v>
      </c>
      <c r="H27" s="7" t="s">
        <v>15</v>
      </c>
    </row>
    <row r="28" spans="1:8" ht="16.5" customHeight="1" x14ac:dyDescent="0.25">
      <c r="A28" s="4">
        <v>23</v>
      </c>
      <c r="B28" s="6" t="str">
        <f>TEXT("012303","000000")</f>
        <v>012303</v>
      </c>
      <c r="C28" s="6" t="s">
        <v>38</v>
      </c>
      <c r="D28" s="6" t="str">
        <f>TEXT("18/09/2007","dd/mm/yyyy")</f>
        <v>18/09/2007</v>
      </c>
      <c r="E28" s="6" t="s">
        <v>13</v>
      </c>
      <c r="F28" s="6" t="s">
        <v>14</v>
      </c>
      <c r="G28" s="6">
        <v>19.45</v>
      </c>
      <c r="H28" s="7" t="s">
        <v>15</v>
      </c>
    </row>
    <row r="29" spans="1:8" ht="16.5" customHeight="1" x14ac:dyDescent="0.25">
      <c r="A29" s="4">
        <v>24</v>
      </c>
      <c r="B29" s="6" t="str">
        <f>TEXT("012690","000000")</f>
        <v>012690</v>
      </c>
      <c r="C29" s="6" t="s">
        <v>39</v>
      </c>
      <c r="D29" s="6" t="str">
        <f>TEXT("30/10/2007","dd/mm/yyyy")</f>
        <v>30/10/2007</v>
      </c>
      <c r="E29" s="6" t="s">
        <v>13</v>
      </c>
      <c r="F29" s="6" t="s">
        <v>14</v>
      </c>
      <c r="G29" s="6">
        <v>21.15</v>
      </c>
      <c r="H29" s="7" t="s">
        <v>15</v>
      </c>
    </row>
    <row r="30" spans="1:8" ht="16.5" customHeight="1" x14ac:dyDescent="0.25">
      <c r="A30" s="4">
        <v>25</v>
      </c>
      <c r="B30" s="6" t="str">
        <f>TEXT("013784","000000")</f>
        <v>013784</v>
      </c>
      <c r="C30" s="6" t="s">
        <v>40</v>
      </c>
      <c r="D30" s="6" t="str">
        <f>TEXT("09/05/2007","dd/mm/yyyy")</f>
        <v>09/05/2007</v>
      </c>
      <c r="E30" s="6" t="s">
        <v>13</v>
      </c>
      <c r="F30" s="6" t="s">
        <v>14</v>
      </c>
      <c r="G30" s="6">
        <v>16.8</v>
      </c>
      <c r="H30" s="7" t="s">
        <v>15</v>
      </c>
    </row>
    <row r="31" spans="1:8" ht="16.5" customHeight="1" x14ac:dyDescent="0.25">
      <c r="A31" s="4">
        <v>26</v>
      </c>
      <c r="B31" s="6" t="str">
        <f>TEXT("013912","000000")</f>
        <v>013912</v>
      </c>
      <c r="C31" s="6" t="s">
        <v>41</v>
      </c>
      <c r="D31" s="6" t="str">
        <f>TEXT("06/12/2007","dd/mm/yyyy")</f>
        <v>06/12/2007</v>
      </c>
      <c r="E31" s="6" t="s">
        <v>13</v>
      </c>
      <c r="F31" s="6" t="s">
        <v>14</v>
      </c>
      <c r="G31" s="6">
        <v>19.3</v>
      </c>
      <c r="H31" s="7" t="s">
        <v>15</v>
      </c>
    </row>
    <row r="32" spans="1:8" ht="16.5" customHeight="1" x14ac:dyDescent="0.25">
      <c r="A32" s="4">
        <v>27</v>
      </c>
      <c r="B32" s="6" t="str">
        <f>TEXT("014779","000000")</f>
        <v>014779</v>
      </c>
      <c r="C32" s="6" t="s">
        <v>42</v>
      </c>
      <c r="D32" s="6" t="str">
        <f>TEXT("02/05/2007","dd/mm/yyyy")</f>
        <v>02/05/2007</v>
      </c>
      <c r="E32" s="6" t="s">
        <v>20</v>
      </c>
      <c r="F32" s="6" t="s">
        <v>14</v>
      </c>
      <c r="G32" s="6">
        <v>16.2</v>
      </c>
      <c r="H32" s="7" t="s">
        <v>15</v>
      </c>
    </row>
    <row r="33" spans="1:8" ht="16.5" customHeight="1" x14ac:dyDescent="0.25">
      <c r="A33" s="4">
        <v>28</v>
      </c>
      <c r="B33" s="6" t="str">
        <f>TEXT("015079","000000")</f>
        <v>015079</v>
      </c>
      <c r="C33" s="6" t="s">
        <v>43</v>
      </c>
      <c r="D33" s="6" t="str">
        <f>TEXT("01/07/2007","dd/mm/yyyy")</f>
        <v>01/07/2007</v>
      </c>
      <c r="E33" s="6" t="s">
        <v>13</v>
      </c>
      <c r="F33" s="6" t="s">
        <v>14</v>
      </c>
      <c r="G33" s="6">
        <v>18.25</v>
      </c>
      <c r="H33" s="7" t="s">
        <v>15</v>
      </c>
    </row>
    <row r="34" spans="1:8" ht="16.5" customHeight="1" x14ac:dyDescent="0.25">
      <c r="A34" s="4">
        <v>29</v>
      </c>
      <c r="B34" s="6" t="str">
        <f>TEXT("015386","000000")</f>
        <v>015386</v>
      </c>
      <c r="C34" s="6" t="s">
        <v>44</v>
      </c>
      <c r="D34" s="6" t="str">
        <f>TEXT("03/02/2007","dd/mm/yyyy")</f>
        <v>03/02/2007</v>
      </c>
      <c r="E34" s="6" t="s">
        <v>13</v>
      </c>
      <c r="F34" s="6" t="s">
        <v>14</v>
      </c>
      <c r="G34" s="6">
        <v>22.8</v>
      </c>
      <c r="H34" s="7" t="s">
        <v>15</v>
      </c>
    </row>
    <row r="35" spans="1:8" ht="16.5" customHeight="1" x14ac:dyDescent="0.25">
      <c r="A35" s="4">
        <v>30</v>
      </c>
      <c r="B35" s="6" t="str">
        <f>TEXT("015719","000000")</f>
        <v>015719</v>
      </c>
      <c r="C35" s="6" t="s">
        <v>45</v>
      </c>
      <c r="D35" s="6" t="str">
        <f>TEXT("26/01/2007","dd/mm/yyyy")</f>
        <v>26/01/2007</v>
      </c>
      <c r="E35" s="6" t="s">
        <v>20</v>
      </c>
      <c r="F35" s="6" t="s">
        <v>14</v>
      </c>
      <c r="G35" s="6">
        <v>18.899999999999999</v>
      </c>
      <c r="H35" s="7" t="s">
        <v>15</v>
      </c>
    </row>
    <row r="36" spans="1:8" ht="16.5" customHeight="1" x14ac:dyDescent="0.25">
      <c r="A36" s="4">
        <v>31</v>
      </c>
      <c r="B36" s="6" t="str">
        <f>TEXT("016163","000000")</f>
        <v>016163</v>
      </c>
      <c r="C36" s="6" t="s">
        <v>46</v>
      </c>
      <c r="D36" s="6" t="str">
        <f>TEXT("26/09/2007","dd/mm/yyyy")</f>
        <v>26/09/2007</v>
      </c>
      <c r="E36" s="6" t="s">
        <v>20</v>
      </c>
      <c r="F36" s="6" t="s">
        <v>14</v>
      </c>
      <c r="G36" s="6">
        <v>23.05</v>
      </c>
      <c r="H36" s="7" t="s">
        <v>15</v>
      </c>
    </row>
    <row r="37" spans="1:8" ht="16.5" customHeight="1" x14ac:dyDescent="0.25">
      <c r="A37" s="4">
        <v>32</v>
      </c>
      <c r="B37" s="6" t="str">
        <f>TEXT("016488","000000")</f>
        <v>016488</v>
      </c>
      <c r="C37" s="6" t="s">
        <v>47</v>
      </c>
      <c r="D37" s="6" t="str">
        <f>TEXT("10/12/2007","dd/mm/yyyy")</f>
        <v>10/12/2007</v>
      </c>
      <c r="E37" s="6" t="s">
        <v>13</v>
      </c>
      <c r="F37" s="6" t="s">
        <v>48</v>
      </c>
      <c r="G37" s="6">
        <v>17.149999999999999</v>
      </c>
      <c r="H37" s="7" t="s">
        <v>15</v>
      </c>
    </row>
    <row r="38" spans="1:8" ht="16.5" customHeight="1" x14ac:dyDescent="0.25">
      <c r="A38" s="4">
        <v>33</v>
      </c>
      <c r="B38" s="6" t="str">
        <f>TEXT("016611","000000")</f>
        <v>016611</v>
      </c>
      <c r="C38" s="6" t="s">
        <v>49</v>
      </c>
      <c r="D38" s="6" t="str">
        <f>TEXT("21/12/2007","dd/mm/yyyy")</f>
        <v>21/12/2007</v>
      </c>
      <c r="E38" s="6" t="s">
        <v>13</v>
      </c>
      <c r="F38" s="6" t="s">
        <v>14</v>
      </c>
      <c r="G38" s="6">
        <v>16.5</v>
      </c>
      <c r="H38" s="7" t="s">
        <v>15</v>
      </c>
    </row>
    <row r="39" spans="1:8" ht="16.5" customHeight="1" x14ac:dyDescent="0.25">
      <c r="A39" s="4">
        <v>34</v>
      </c>
      <c r="B39" s="6" t="str">
        <f>TEXT("000678","000000")</f>
        <v>000678</v>
      </c>
      <c r="C39" s="6" t="s">
        <v>50</v>
      </c>
      <c r="D39" s="6" t="str">
        <f>TEXT("11/03/2007","dd/mm/yyyy")</f>
        <v>11/03/2007</v>
      </c>
      <c r="E39" s="6" t="s">
        <v>13</v>
      </c>
      <c r="F39" s="6" t="s">
        <v>14</v>
      </c>
      <c r="G39" s="6">
        <v>23.3</v>
      </c>
      <c r="H39" s="7" t="s">
        <v>51</v>
      </c>
    </row>
    <row r="40" spans="1:8" ht="16.5" customHeight="1" x14ac:dyDescent="0.25">
      <c r="A40" s="4">
        <v>35</v>
      </c>
      <c r="B40" s="6" t="str">
        <f>TEXT("001122","000000")</f>
        <v>001122</v>
      </c>
      <c r="C40" s="6" t="s">
        <v>52</v>
      </c>
      <c r="D40" s="6" t="str">
        <f>TEXT("30/01/2007","dd/mm/yyyy")</f>
        <v>30/01/2007</v>
      </c>
      <c r="E40" s="6" t="s">
        <v>13</v>
      </c>
      <c r="F40" s="6" t="s">
        <v>14</v>
      </c>
      <c r="G40" s="6">
        <v>16.399999999999999</v>
      </c>
      <c r="H40" s="7" t="s">
        <v>51</v>
      </c>
    </row>
    <row r="41" spans="1:8" ht="16.5" customHeight="1" x14ac:dyDescent="0.25">
      <c r="A41" s="4">
        <v>36</v>
      </c>
      <c r="B41" s="6" t="str">
        <f>TEXT("001292","000000")</f>
        <v>001292</v>
      </c>
      <c r="C41" s="6" t="s">
        <v>53</v>
      </c>
      <c r="D41" s="6" t="str">
        <f>TEXT("18/03/2007","dd/mm/yyyy")</f>
        <v>18/03/2007</v>
      </c>
      <c r="E41" s="6" t="s">
        <v>13</v>
      </c>
      <c r="F41" s="6" t="s">
        <v>14</v>
      </c>
      <c r="G41" s="6">
        <v>18.25</v>
      </c>
      <c r="H41" s="7" t="s">
        <v>51</v>
      </c>
    </row>
    <row r="42" spans="1:8" ht="16.5" customHeight="1" x14ac:dyDescent="0.25">
      <c r="A42" s="4">
        <v>37</v>
      </c>
      <c r="B42" s="6" t="str">
        <f>TEXT("001372","000000")</f>
        <v>001372</v>
      </c>
      <c r="C42" s="6" t="s">
        <v>54</v>
      </c>
      <c r="D42" s="6" t="str">
        <f>TEXT("14/03/2007","dd/mm/yyyy")</f>
        <v>14/03/2007</v>
      </c>
      <c r="E42" s="6" t="s">
        <v>13</v>
      </c>
      <c r="F42" s="6" t="s">
        <v>14</v>
      </c>
      <c r="G42" s="6">
        <v>23.85</v>
      </c>
      <c r="H42" s="7" t="s">
        <v>51</v>
      </c>
    </row>
    <row r="43" spans="1:8" ht="16.5" customHeight="1" x14ac:dyDescent="0.25">
      <c r="A43" s="4">
        <v>38</v>
      </c>
      <c r="B43" s="6" t="str">
        <f>TEXT("002899","000000")</f>
        <v>002899</v>
      </c>
      <c r="C43" s="6" t="s">
        <v>55</v>
      </c>
      <c r="D43" s="6" t="str">
        <f>TEXT("23/11/2007","dd/mm/yyyy")</f>
        <v>23/11/2007</v>
      </c>
      <c r="E43" s="6" t="s">
        <v>13</v>
      </c>
      <c r="F43" s="6" t="s">
        <v>14</v>
      </c>
      <c r="G43" s="6">
        <v>21.1</v>
      </c>
      <c r="H43" s="7" t="s">
        <v>51</v>
      </c>
    </row>
    <row r="44" spans="1:8" ht="16.5" customHeight="1" x14ac:dyDescent="0.25">
      <c r="A44" s="4">
        <v>39</v>
      </c>
      <c r="B44" s="6" t="str">
        <f>TEXT("004086","000000")</f>
        <v>004086</v>
      </c>
      <c r="C44" s="6" t="s">
        <v>56</v>
      </c>
      <c r="D44" s="6" t="str">
        <f>TEXT("02/08/2007","dd/mm/yyyy")</f>
        <v>02/08/2007</v>
      </c>
      <c r="E44" s="6" t="s">
        <v>20</v>
      </c>
      <c r="F44" s="6" t="s">
        <v>14</v>
      </c>
      <c r="G44" s="6">
        <v>19.95</v>
      </c>
      <c r="H44" s="7" t="s">
        <v>51</v>
      </c>
    </row>
    <row r="45" spans="1:8" ht="16.5" customHeight="1" x14ac:dyDescent="0.25">
      <c r="A45" s="4">
        <v>40</v>
      </c>
      <c r="B45" s="6" t="str">
        <f>TEXT("004251","000000")</f>
        <v>004251</v>
      </c>
      <c r="C45" s="6" t="s">
        <v>57</v>
      </c>
      <c r="D45" s="6" t="str">
        <f>TEXT("12/11/2007","dd/mm/yyyy")</f>
        <v>12/11/2007</v>
      </c>
      <c r="E45" s="6" t="s">
        <v>20</v>
      </c>
      <c r="F45" s="6" t="s">
        <v>14</v>
      </c>
      <c r="G45" s="6">
        <v>18.649999999999999</v>
      </c>
      <c r="H45" s="7" t="s">
        <v>51</v>
      </c>
    </row>
    <row r="46" spans="1:8" ht="16.5" customHeight="1" x14ac:dyDescent="0.25">
      <c r="A46" s="4">
        <v>41</v>
      </c>
      <c r="B46" s="6" t="str">
        <f>TEXT("004486","000000")</f>
        <v>004486</v>
      </c>
      <c r="C46" s="6" t="s">
        <v>58</v>
      </c>
      <c r="D46" s="6" t="str">
        <f>TEXT("03/07/2007","dd/mm/yyyy")</f>
        <v>03/07/2007</v>
      </c>
      <c r="E46" s="6" t="s">
        <v>20</v>
      </c>
      <c r="F46" s="6" t="s">
        <v>14</v>
      </c>
      <c r="G46" s="6">
        <v>19.649999999999999</v>
      </c>
      <c r="H46" s="7" t="s">
        <v>51</v>
      </c>
    </row>
    <row r="47" spans="1:8" ht="16.5" customHeight="1" x14ac:dyDescent="0.25">
      <c r="A47" s="4">
        <v>42</v>
      </c>
      <c r="B47" s="6" t="str">
        <f>TEXT("004996","000000")</f>
        <v>004996</v>
      </c>
      <c r="C47" s="6" t="s">
        <v>59</v>
      </c>
      <c r="D47" s="6" t="str">
        <f>TEXT("26/03/2007","dd/mm/yyyy")</f>
        <v>26/03/2007</v>
      </c>
      <c r="E47" s="6" t="s">
        <v>13</v>
      </c>
      <c r="F47" s="6" t="s">
        <v>14</v>
      </c>
      <c r="G47" s="6">
        <v>21.75</v>
      </c>
      <c r="H47" s="7" t="s">
        <v>51</v>
      </c>
    </row>
    <row r="48" spans="1:8" ht="16.5" customHeight="1" x14ac:dyDescent="0.25">
      <c r="A48" s="4">
        <v>43</v>
      </c>
      <c r="B48" s="6" t="str">
        <f>TEXT("005692","000000")</f>
        <v>005692</v>
      </c>
      <c r="C48" s="6" t="s">
        <v>60</v>
      </c>
      <c r="D48" s="6" t="str">
        <f>TEXT("25/04/2007","dd/mm/yyyy")</f>
        <v>25/04/2007</v>
      </c>
      <c r="E48" s="6" t="s">
        <v>20</v>
      </c>
      <c r="F48" s="6" t="s">
        <v>14</v>
      </c>
      <c r="G48" s="6">
        <v>17</v>
      </c>
      <c r="H48" s="7" t="s">
        <v>51</v>
      </c>
    </row>
    <row r="49" spans="1:9" ht="16.5" customHeight="1" x14ac:dyDescent="0.25">
      <c r="A49" s="4">
        <v>44</v>
      </c>
      <c r="B49" s="6" t="str">
        <f>TEXT("008143","000000")</f>
        <v>008143</v>
      </c>
      <c r="C49" s="6" t="s">
        <v>61</v>
      </c>
      <c r="D49" s="6" t="str">
        <f>TEXT("26/09/2007","dd/mm/yyyy")</f>
        <v>26/09/2007</v>
      </c>
      <c r="E49" s="6" t="s">
        <v>20</v>
      </c>
      <c r="F49" s="6" t="s">
        <v>14</v>
      </c>
      <c r="G49" s="6">
        <v>18.899999999999999</v>
      </c>
      <c r="H49" s="7" t="s">
        <v>51</v>
      </c>
    </row>
    <row r="50" spans="1:9" ht="15" x14ac:dyDescent="0.25">
      <c r="A50" s="17" t="s">
        <v>0</v>
      </c>
      <c r="B50" s="17"/>
      <c r="C50" s="17"/>
      <c r="D50" s="17"/>
      <c r="E50" s="17"/>
      <c r="F50" s="17"/>
      <c r="G50" s="12"/>
      <c r="H50" s="12"/>
      <c r="I50" s="1"/>
    </row>
    <row r="51" spans="1:9" ht="15" x14ac:dyDescent="0.25">
      <c r="A51" s="17" t="s">
        <v>1</v>
      </c>
      <c r="B51" s="17"/>
      <c r="C51" s="17"/>
      <c r="D51" s="17"/>
      <c r="E51" s="17"/>
      <c r="F51" s="17"/>
      <c r="G51" s="17"/>
      <c r="H51" s="17"/>
      <c r="I51" s="1"/>
    </row>
    <row r="52" spans="1:9" ht="15" x14ac:dyDescent="0.25">
      <c r="A52" s="17" t="s">
        <v>2</v>
      </c>
      <c r="B52" s="17"/>
      <c r="C52" s="17"/>
      <c r="D52" s="17"/>
      <c r="E52" s="17"/>
      <c r="F52" s="17"/>
      <c r="G52" s="12"/>
      <c r="H52" s="12"/>
      <c r="I52" s="1"/>
    </row>
    <row r="53" spans="1:9" x14ac:dyDescent="0.2">
      <c r="A53" s="18" t="s">
        <v>379</v>
      </c>
      <c r="B53" s="19"/>
      <c r="C53" s="19"/>
      <c r="D53" s="19"/>
      <c r="E53" s="19"/>
      <c r="F53" s="19"/>
      <c r="G53" s="19"/>
      <c r="H53" s="19"/>
      <c r="I53" s="19"/>
    </row>
    <row r="54" spans="1:9" ht="40.5" customHeight="1" x14ac:dyDescent="0.2">
      <c r="A54" s="2" t="s">
        <v>3</v>
      </c>
      <c r="B54" s="2" t="s">
        <v>4</v>
      </c>
      <c r="C54" s="2" t="s">
        <v>5</v>
      </c>
      <c r="D54" s="2" t="s">
        <v>6</v>
      </c>
      <c r="E54" s="2" t="s">
        <v>7</v>
      </c>
      <c r="F54" s="2" t="s">
        <v>8</v>
      </c>
      <c r="G54" s="2" t="s">
        <v>9</v>
      </c>
      <c r="H54" s="14" t="s">
        <v>11</v>
      </c>
      <c r="I54" s="13" t="s">
        <v>10</v>
      </c>
    </row>
    <row r="55" spans="1:9" ht="16.5" customHeight="1" x14ac:dyDescent="0.25">
      <c r="A55" s="4">
        <v>1</v>
      </c>
      <c r="B55" s="6" t="str">
        <f>TEXT("009184","000000")</f>
        <v>009184</v>
      </c>
      <c r="C55" s="6" t="s">
        <v>62</v>
      </c>
      <c r="D55" s="6" t="str">
        <f>TEXT("12/10/2007","dd/mm/yyyy")</f>
        <v>12/10/2007</v>
      </c>
      <c r="E55" s="6" t="s">
        <v>20</v>
      </c>
      <c r="F55" s="6" t="s">
        <v>14</v>
      </c>
      <c r="G55" s="6">
        <v>16.649999999999999</v>
      </c>
      <c r="H55" s="7" t="s">
        <v>51</v>
      </c>
    </row>
    <row r="56" spans="1:9" ht="16.5" customHeight="1" x14ac:dyDescent="0.25">
      <c r="A56" s="4">
        <v>2</v>
      </c>
      <c r="B56" s="6" t="str">
        <f>TEXT("009275","000000")</f>
        <v>009275</v>
      </c>
      <c r="C56" s="6" t="s">
        <v>63</v>
      </c>
      <c r="D56" s="6" t="str">
        <f>TEXT("26/07/2007","dd/mm/yyyy")</f>
        <v>26/07/2007</v>
      </c>
      <c r="E56" s="6" t="s">
        <v>20</v>
      </c>
      <c r="F56" s="6" t="s">
        <v>14</v>
      </c>
      <c r="G56" s="6">
        <v>19.100000000000001</v>
      </c>
      <c r="H56" s="7" t="s">
        <v>51</v>
      </c>
    </row>
    <row r="57" spans="1:9" ht="16.5" customHeight="1" x14ac:dyDescent="0.25">
      <c r="A57" s="4">
        <v>3</v>
      </c>
      <c r="B57" s="6" t="str">
        <f>TEXT("009466","000000")</f>
        <v>009466</v>
      </c>
      <c r="C57" s="6" t="s">
        <v>64</v>
      </c>
      <c r="D57" s="6" t="str">
        <f>TEXT("01/12/2007","dd/mm/yyyy")</f>
        <v>01/12/2007</v>
      </c>
      <c r="E57" s="6" t="s">
        <v>20</v>
      </c>
      <c r="F57" s="6" t="s">
        <v>14</v>
      </c>
      <c r="G57" s="6">
        <v>20.05</v>
      </c>
      <c r="H57" s="7" t="s">
        <v>51</v>
      </c>
    </row>
    <row r="58" spans="1:9" ht="16.5" customHeight="1" x14ac:dyDescent="0.25">
      <c r="A58" s="4">
        <v>4</v>
      </c>
      <c r="B58" s="6" t="str">
        <f>TEXT("011545","000000")</f>
        <v>011545</v>
      </c>
      <c r="C58" s="6" t="s">
        <v>65</v>
      </c>
      <c r="D58" s="6" t="str">
        <f>TEXT("20/12/2007","dd/mm/yyyy")</f>
        <v>20/12/2007</v>
      </c>
      <c r="E58" s="6" t="s">
        <v>13</v>
      </c>
      <c r="F58" s="6" t="s">
        <v>14</v>
      </c>
      <c r="G58" s="6">
        <v>19.100000000000001</v>
      </c>
      <c r="H58" s="7" t="s">
        <v>51</v>
      </c>
    </row>
    <row r="59" spans="1:9" ht="16.5" customHeight="1" x14ac:dyDescent="0.25">
      <c r="A59" s="4">
        <v>5</v>
      </c>
      <c r="B59" s="6" t="str">
        <f>TEXT("012935","000000")</f>
        <v>012935</v>
      </c>
      <c r="C59" s="6" t="s">
        <v>66</v>
      </c>
      <c r="D59" s="6" t="str">
        <f>TEXT("07/02/2007","dd/mm/yyyy")</f>
        <v>07/02/2007</v>
      </c>
      <c r="E59" s="6" t="s">
        <v>20</v>
      </c>
      <c r="F59" s="6" t="s">
        <v>14</v>
      </c>
      <c r="G59" s="6">
        <v>18.8</v>
      </c>
      <c r="H59" s="7" t="s">
        <v>51</v>
      </c>
    </row>
    <row r="60" spans="1:9" ht="16.5" customHeight="1" x14ac:dyDescent="0.25">
      <c r="A60" s="4">
        <v>6</v>
      </c>
      <c r="B60" s="6" t="str">
        <f>TEXT("015776","000000")</f>
        <v>015776</v>
      </c>
      <c r="C60" s="6" t="s">
        <v>67</v>
      </c>
      <c r="D60" s="6" t="str">
        <f>TEXT("30/12/2007","dd/mm/yyyy")</f>
        <v>30/12/2007</v>
      </c>
      <c r="E60" s="6" t="s">
        <v>20</v>
      </c>
      <c r="F60" s="6" t="s">
        <v>14</v>
      </c>
      <c r="G60" s="6">
        <v>21.3</v>
      </c>
      <c r="H60" s="7" t="s">
        <v>51</v>
      </c>
    </row>
    <row r="61" spans="1:9" ht="16.5" customHeight="1" x14ac:dyDescent="0.25">
      <c r="A61" s="4">
        <v>7</v>
      </c>
      <c r="B61" s="6" t="str">
        <f>TEXT("015846","000000")</f>
        <v>015846</v>
      </c>
      <c r="C61" s="6" t="s">
        <v>68</v>
      </c>
      <c r="D61" s="6" t="str">
        <f>TEXT("30/10/2007","dd/mm/yyyy")</f>
        <v>30/10/2007</v>
      </c>
      <c r="E61" s="6" t="s">
        <v>20</v>
      </c>
      <c r="F61" s="6" t="s">
        <v>14</v>
      </c>
      <c r="G61" s="6">
        <v>17.3</v>
      </c>
      <c r="H61" s="7" t="s">
        <v>51</v>
      </c>
    </row>
    <row r="62" spans="1:9" ht="16.5" customHeight="1" x14ac:dyDescent="0.25">
      <c r="A62" s="4">
        <v>8</v>
      </c>
      <c r="B62" s="6" t="str">
        <f>TEXT("015871","000000")</f>
        <v>015871</v>
      </c>
      <c r="C62" s="6" t="s">
        <v>69</v>
      </c>
      <c r="D62" s="6" t="str">
        <f>TEXT("25/03/2007","dd/mm/yyyy")</f>
        <v>25/03/2007</v>
      </c>
      <c r="E62" s="6" t="s">
        <v>20</v>
      </c>
      <c r="F62" s="6" t="s">
        <v>14</v>
      </c>
      <c r="G62" s="6">
        <v>21.35</v>
      </c>
      <c r="H62" s="7" t="s">
        <v>51</v>
      </c>
    </row>
    <row r="63" spans="1:9" ht="16.5" customHeight="1" x14ac:dyDescent="0.25">
      <c r="A63" s="4">
        <v>9</v>
      </c>
      <c r="B63" s="6" t="str">
        <f>TEXT("016306","000000")</f>
        <v>016306</v>
      </c>
      <c r="C63" s="6" t="s">
        <v>70</v>
      </c>
      <c r="D63" s="6" t="str">
        <f>TEXT("10/10/2007","dd/mm/yyyy")</f>
        <v>10/10/2007</v>
      </c>
      <c r="E63" s="6" t="s">
        <v>13</v>
      </c>
      <c r="F63" s="6" t="s">
        <v>14</v>
      </c>
      <c r="G63" s="6">
        <v>21.3</v>
      </c>
      <c r="H63" s="7" t="s">
        <v>51</v>
      </c>
    </row>
    <row r="64" spans="1:9" ht="16.5" customHeight="1" x14ac:dyDescent="0.25">
      <c r="A64" s="4">
        <v>10</v>
      </c>
      <c r="B64" s="6" t="str">
        <f>TEXT("016596","000000")</f>
        <v>016596</v>
      </c>
      <c r="C64" s="6" t="s">
        <v>71</v>
      </c>
      <c r="D64" s="6" t="str">
        <f>TEXT("30/07/2007","dd/mm/yyyy")</f>
        <v>30/07/2007</v>
      </c>
      <c r="E64" s="6" t="s">
        <v>13</v>
      </c>
      <c r="F64" s="6" t="s">
        <v>14</v>
      </c>
      <c r="G64" s="6">
        <v>19.8</v>
      </c>
      <c r="H64" s="7" t="s">
        <v>51</v>
      </c>
    </row>
    <row r="65" spans="1:8" ht="16.5" customHeight="1" x14ac:dyDescent="0.25">
      <c r="A65" s="4">
        <v>11</v>
      </c>
      <c r="B65" s="6" t="str">
        <f>TEXT("016599","000000")</f>
        <v>016599</v>
      </c>
      <c r="C65" s="6" t="s">
        <v>72</v>
      </c>
      <c r="D65" s="6" t="str">
        <f>TEXT("24/04/2007","dd/mm/yyyy")</f>
        <v>24/04/2007</v>
      </c>
      <c r="E65" s="6" t="s">
        <v>13</v>
      </c>
      <c r="F65" s="6" t="s">
        <v>14</v>
      </c>
      <c r="G65" s="6">
        <v>27.25</v>
      </c>
      <c r="H65" s="7" t="s">
        <v>51</v>
      </c>
    </row>
    <row r="66" spans="1:8" ht="16.5" customHeight="1" x14ac:dyDescent="0.25">
      <c r="A66" s="4">
        <v>12</v>
      </c>
      <c r="B66" s="6" t="str">
        <f>TEXT("016712","000000")</f>
        <v>016712</v>
      </c>
      <c r="C66" s="6" t="s">
        <v>73</v>
      </c>
      <c r="D66" s="6" t="str">
        <f>TEXT("12/02/2007","dd/mm/yyyy")</f>
        <v>12/02/2007</v>
      </c>
      <c r="E66" s="6" t="s">
        <v>20</v>
      </c>
      <c r="F66" s="6" t="s">
        <v>14</v>
      </c>
      <c r="G66" s="6">
        <v>22.75</v>
      </c>
      <c r="H66" s="7" t="s">
        <v>51</v>
      </c>
    </row>
    <row r="67" spans="1:8" ht="16.5" customHeight="1" x14ac:dyDescent="0.25">
      <c r="A67" s="4">
        <v>13</v>
      </c>
      <c r="B67" s="6" t="str">
        <f>TEXT("016983","000000")</f>
        <v>016983</v>
      </c>
      <c r="C67" s="6" t="s">
        <v>74</v>
      </c>
      <c r="D67" s="6" t="str">
        <f>TEXT("13/01/2007","dd/mm/yyyy")</f>
        <v>13/01/2007</v>
      </c>
      <c r="E67" s="6" t="s">
        <v>13</v>
      </c>
      <c r="F67" s="6" t="s">
        <v>14</v>
      </c>
      <c r="G67" s="6">
        <v>18.850000000000001</v>
      </c>
      <c r="H67" s="7" t="s">
        <v>51</v>
      </c>
    </row>
    <row r="68" spans="1:8" ht="16.5" customHeight="1" x14ac:dyDescent="0.25">
      <c r="A68" s="4">
        <v>14</v>
      </c>
      <c r="B68" s="6" t="str">
        <f>TEXT("005106","000000")</f>
        <v>005106</v>
      </c>
      <c r="C68" s="6" t="s">
        <v>75</v>
      </c>
      <c r="D68" s="6" t="str">
        <f>TEXT("27/01/2007","dd/mm/yyyy")</f>
        <v>27/01/2007</v>
      </c>
      <c r="E68" s="6" t="s">
        <v>20</v>
      </c>
      <c r="F68" s="6" t="s">
        <v>14</v>
      </c>
      <c r="G68" s="6">
        <v>19.55</v>
      </c>
      <c r="H68" s="9" t="s">
        <v>76</v>
      </c>
    </row>
    <row r="69" spans="1:8" ht="16.5" customHeight="1" x14ac:dyDescent="0.25">
      <c r="A69" s="4">
        <v>15</v>
      </c>
      <c r="B69" s="6" t="str">
        <f>TEXT("013387","000000")</f>
        <v>013387</v>
      </c>
      <c r="C69" s="6" t="s">
        <v>77</v>
      </c>
      <c r="D69" s="6" t="str">
        <f>TEXT("28/7/2007","dd/mm/yyyy")</f>
        <v>28/07/2007</v>
      </c>
      <c r="E69" s="6" t="s">
        <v>20</v>
      </c>
      <c r="F69" s="6" t="s">
        <v>14</v>
      </c>
      <c r="G69" s="6">
        <v>20.100000000000001</v>
      </c>
      <c r="H69" s="7" t="s">
        <v>78</v>
      </c>
    </row>
    <row r="70" spans="1:8" ht="16.5" customHeight="1" x14ac:dyDescent="0.25">
      <c r="A70" s="4">
        <v>16</v>
      </c>
      <c r="B70" s="6" t="str">
        <f>TEXT("001285","000000")</f>
        <v>001285</v>
      </c>
      <c r="C70" s="6" t="s">
        <v>79</v>
      </c>
      <c r="D70" s="6" t="str">
        <f>TEXT("28/11/2007","dd/mm/yyyy")</f>
        <v>28/11/2007</v>
      </c>
      <c r="E70" s="6" t="s">
        <v>20</v>
      </c>
      <c r="F70" s="6" t="s">
        <v>14</v>
      </c>
      <c r="G70" s="6">
        <v>22.9</v>
      </c>
      <c r="H70" s="7" t="s">
        <v>80</v>
      </c>
    </row>
    <row r="71" spans="1:8" ht="16.5" customHeight="1" x14ac:dyDescent="0.25">
      <c r="A71" s="4">
        <v>17</v>
      </c>
      <c r="B71" s="6" t="str">
        <f>TEXT("001806","000000")</f>
        <v>001806</v>
      </c>
      <c r="C71" s="6" t="s">
        <v>81</v>
      </c>
      <c r="D71" s="6" t="str">
        <f>TEXT("21/12/2007","dd/mm/yyyy")</f>
        <v>21/12/2007</v>
      </c>
      <c r="E71" s="6" t="s">
        <v>13</v>
      </c>
      <c r="F71" s="6" t="s">
        <v>14</v>
      </c>
      <c r="G71" s="6">
        <v>19.3</v>
      </c>
      <c r="H71" s="7" t="s">
        <v>80</v>
      </c>
    </row>
    <row r="72" spans="1:8" ht="16.5" customHeight="1" x14ac:dyDescent="0.25">
      <c r="A72" s="4">
        <v>18</v>
      </c>
      <c r="B72" s="6" t="str">
        <f>TEXT("002827","000000")</f>
        <v>002827</v>
      </c>
      <c r="C72" s="6" t="s">
        <v>82</v>
      </c>
      <c r="D72" s="6" t="str">
        <f>TEXT("10/07/2007","dd/mm/yyyy")</f>
        <v>10/07/2007</v>
      </c>
      <c r="E72" s="6" t="s">
        <v>20</v>
      </c>
      <c r="F72" s="6" t="s">
        <v>14</v>
      </c>
      <c r="G72" s="6">
        <v>21.85</v>
      </c>
      <c r="H72" s="7" t="s">
        <v>80</v>
      </c>
    </row>
    <row r="73" spans="1:8" ht="16.5" customHeight="1" x14ac:dyDescent="0.25">
      <c r="A73" s="4">
        <v>19</v>
      </c>
      <c r="B73" s="6" t="str">
        <f>TEXT("002950","000000")</f>
        <v>002950</v>
      </c>
      <c r="C73" s="6" t="s">
        <v>83</v>
      </c>
      <c r="D73" s="6" t="str">
        <f>TEXT("16/01/2007","dd/mm/yyyy")</f>
        <v>16/01/2007</v>
      </c>
      <c r="E73" s="6" t="s">
        <v>13</v>
      </c>
      <c r="F73" s="6" t="s">
        <v>14</v>
      </c>
      <c r="G73" s="6">
        <v>24.75</v>
      </c>
      <c r="H73" s="7" t="s">
        <v>80</v>
      </c>
    </row>
    <row r="74" spans="1:8" ht="16.5" customHeight="1" x14ac:dyDescent="0.25">
      <c r="A74" s="4">
        <v>20</v>
      </c>
      <c r="B74" s="6" t="str">
        <f>TEXT("003171","000000")</f>
        <v>003171</v>
      </c>
      <c r="C74" s="6" t="s">
        <v>84</v>
      </c>
      <c r="D74" s="6" t="str">
        <f>TEXT("14/12/2007","dd/mm/yyyy")</f>
        <v>14/12/2007</v>
      </c>
      <c r="E74" s="6" t="s">
        <v>20</v>
      </c>
      <c r="F74" s="6" t="s">
        <v>14</v>
      </c>
      <c r="G74" s="6">
        <v>20</v>
      </c>
      <c r="H74" s="7" t="s">
        <v>80</v>
      </c>
    </row>
    <row r="75" spans="1:8" ht="16.5" customHeight="1" x14ac:dyDescent="0.25">
      <c r="A75" s="4">
        <v>21</v>
      </c>
      <c r="B75" s="6" t="str">
        <f>TEXT("003453","000000")</f>
        <v>003453</v>
      </c>
      <c r="C75" s="6" t="s">
        <v>85</v>
      </c>
      <c r="D75" s="6" t="str">
        <f>TEXT("30/03/2007","dd/mm/yyyy")</f>
        <v>30/03/2007</v>
      </c>
      <c r="E75" s="6" t="s">
        <v>20</v>
      </c>
      <c r="F75" s="6" t="s">
        <v>14</v>
      </c>
      <c r="G75" s="6">
        <v>17.3</v>
      </c>
      <c r="H75" s="7" t="s">
        <v>80</v>
      </c>
    </row>
    <row r="76" spans="1:8" ht="16.5" customHeight="1" x14ac:dyDescent="0.25">
      <c r="A76" s="4">
        <v>22</v>
      </c>
      <c r="B76" s="6" t="str">
        <f>TEXT("004473","000000")</f>
        <v>004473</v>
      </c>
      <c r="C76" s="6" t="s">
        <v>86</v>
      </c>
      <c r="D76" s="6" t="str">
        <f>TEXT("30/06/2007","dd/mm/yyyy")</f>
        <v>30/06/2007</v>
      </c>
      <c r="E76" s="6" t="s">
        <v>20</v>
      </c>
      <c r="F76" s="6" t="s">
        <v>14</v>
      </c>
      <c r="G76" s="6">
        <v>20.5</v>
      </c>
      <c r="H76" s="7" t="s">
        <v>80</v>
      </c>
    </row>
    <row r="77" spans="1:8" ht="16.5" customHeight="1" x14ac:dyDescent="0.25">
      <c r="A77" s="4">
        <v>23</v>
      </c>
      <c r="B77" s="6" t="str">
        <f>TEXT("004983","000000")</f>
        <v>004983</v>
      </c>
      <c r="C77" s="6" t="s">
        <v>87</v>
      </c>
      <c r="D77" s="6" t="str">
        <f>TEXT("28/03/2007","dd/mm/yyyy")</f>
        <v>28/03/2007</v>
      </c>
      <c r="E77" s="6" t="s">
        <v>20</v>
      </c>
      <c r="F77" s="6" t="s">
        <v>14</v>
      </c>
      <c r="G77" s="6">
        <v>20.5</v>
      </c>
      <c r="H77" s="7" t="s">
        <v>80</v>
      </c>
    </row>
    <row r="78" spans="1:8" ht="16.5" customHeight="1" x14ac:dyDescent="0.25">
      <c r="A78" s="4">
        <v>24</v>
      </c>
      <c r="B78" s="6" t="str">
        <f>TEXT("005069","000000")</f>
        <v>005069</v>
      </c>
      <c r="C78" s="6" t="s">
        <v>88</v>
      </c>
      <c r="D78" s="6" t="str">
        <f>TEXT("27/06/2007","dd/mm/yyyy")</f>
        <v>27/06/2007</v>
      </c>
      <c r="E78" s="6" t="s">
        <v>20</v>
      </c>
      <c r="F78" s="6" t="s">
        <v>14</v>
      </c>
      <c r="G78" s="6">
        <v>20.25</v>
      </c>
      <c r="H78" s="7" t="s">
        <v>80</v>
      </c>
    </row>
    <row r="79" spans="1:8" ht="16.5" customHeight="1" x14ac:dyDescent="0.25">
      <c r="A79" s="4">
        <v>25</v>
      </c>
      <c r="B79" s="6" t="str">
        <f>TEXT("006529","000000")</f>
        <v>006529</v>
      </c>
      <c r="C79" s="6" t="s">
        <v>89</v>
      </c>
      <c r="D79" s="6" t="str">
        <f>TEXT("12/07/2007","dd/mm/yyyy")</f>
        <v>12/07/2007</v>
      </c>
      <c r="E79" s="6" t="s">
        <v>20</v>
      </c>
      <c r="F79" s="6" t="s">
        <v>14</v>
      </c>
      <c r="G79" s="6">
        <v>26.05</v>
      </c>
      <c r="H79" s="7" t="s">
        <v>80</v>
      </c>
    </row>
    <row r="80" spans="1:8" ht="16.5" customHeight="1" x14ac:dyDescent="0.25">
      <c r="A80" s="4">
        <v>26</v>
      </c>
      <c r="B80" s="6" t="str">
        <f>TEXT("008813","000000")</f>
        <v>008813</v>
      </c>
      <c r="C80" s="6" t="s">
        <v>90</v>
      </c>
      <c r="D80" s="6" t="str">
        <f>TEXT("26/09/2007","dd/mm/yyyy")</f>
        <v>26/09/2007</v>
      </c>
      <c r="E80" s="6" t="s">
        <v>13</v>
      </c>
      <c r="F80" s="6" t="s">
        <v>14</v>
      </c>
      <c r="G80" s="6">
        <v>20.149999999999999</v>
      </c>
      <c r="H80" s="7" t="s">
        <v>80</v>
      </c>
    </row>
    <row r="81" spans="1:8" ht="16.5" customHeight="1" x14ac:dyDescent="0.25">
      <c r="A81" s="4">
        <v>27</v>
      </c>
      <c r="B81" s="6" t="str">
        <f>TEXT("008853","000000")</f>
        <v>008853</v>
      </c>
      <c r="C81" s="6" t="s">
        <v>91</v>
      </c>
      <c r="D81" s="6" t="str">
        <f>TEXT("09/04/2007","dd/mm/yyyy")</f>
        <v>09/04/2007</v>
      </c>
      <c r="E81" s="6" t="s">
        <v>13</v>
      </c>
      <c r="F81" s="6" t="s">
        <v>14</v>
      </c>
      <c r="G81" s="6">
        <v>24.25</v>
      </c>
      <c r="H81" s="7" t="s">
        <v>80</v>
      </c>
    </row>
    <row r="82" spans="1:8" ht="16.5" customHeight="1" x14ac:dyDescent="0.25">
      <c r="A82" s="4">
        <v>28</v>
      </c>
      <c r="B82" s="6" t="str">
        <f>TEXT("010886","000000")</f>
        <v>010886</v>
      </c>
      <c r="C82" s="6" t="s">
        <v>92</v>
      </c>
      <c r="D82" s="6" t="str">
        <f>TEXT("27/06/2007","dd/mm/yyyy")</f>
        <v>27/06/2007</v>
      </c>
      <c r="E82" s="6" t="s">
        <v>13</v>
      </c>
      <c r="F82" s="6" t="s">
        <v>14</v>
      </c>
      <c r="G82" s="6">
        <v>25.35</v>
      </c>
      <c r="H82" s="7" t="s">
        <v>80</v>
      </c>
    </row>
    <row r="83" spans="1:8" ht="16.5" customHeight="1" x14ac:dyDescent="0.25">
      <c r="A83" s="4">
        <v>29</v>
      </c>
      <c r="B83" s="6" t="str">
        <f>TEXT("011126","000000")</f>
        <v>011126</v>
      </c>
      <c r="C83" s="6" t="s">
        <v>93</v>
      </c>
      <c r="D83" s="6" t="str">
        <f>TEXT("04/05/2007","dd/mm/yyyy")</f>
        <v>04/05/2007</v>
      </c>
      <c r="E83" s="6" t="s">
        <v>20</v>
      </c>
      <c r="F83" s="6" t="s">
        <v>14</v>
      </c>
      <c r="G83" s="6">
        <v>27.3</v>
      </c>
      <c r="H83" s="7" t="s">
        <v>80</v>
      </c>
    </row>
    <row r="84" spans="1:8" ht="16.5" customHeight="1" x14ac:dyDescent="0.25">
      <c r="A84" s="4">
        <v>30</v>
      </c>
      <c r="B84" s="6" t="str">
        <f>TEXT("011467","000000")</f>
        <v>011467</v>
      </c>
      <c r="C84" s="6" t="s">
        <v>94</v>
      </c>
      <c r="D84" s="6" t="str">
        <f>TEXT("14/11/2007","dd/mm/yyyy")</f>
        <v>14/11/2007</v>
      </c>
      <c r="E84" s="6" t="s">
        <v>13</v>
      </c>
      <c r="F84" s="6" t="s">
        <v>14</v>
      </c>
      <c r="G84" s="6">
        <v>23.3</v>
      </c>
      <c r="H84" s="7" t="s">
        <v>80</v>
      </c>
    </row>
    <row r="85" spans="1:8" ht="16.5" customHeight="1" x14ac:dyDescent="0.25">
      <c r="A85" s="4">
        <v>31</v>
      </c>
      <c r="B85" s="6" t="str">
        <f>TEXT("012166","000000")</f>
        <v>012166</v>
      </c>
      <c r="C85" s="6" t="s">
        <v>95</v>
      </c>
      <c r="D85" s="6" t="str">
        <f>TEXT("08/03/2007","dd/mm/yyyy")</f>
        <v>08/03/2007</v>
      </c>
      <c r="E85" s="6" t="s">
        <v>13</v>
      </c>
      <c r="F85" s="6" t="s">
        <v>14</v>
      </c>
      <c r="G85" s="6">
        <v>17.7</v>
      </c>
      <c r="H85" s="7" t="s">
        <v>80</v>
      </c>
    </row>
    <row r="86" spans="1:8" ht="16.5" customHeight="1" x14ac:dyDescent="0.25">
      <c r="A86" s="4">
        <v>32</v>
      </c>
      <c r="B86" s="6" t="str">
        <f>TEXT("014459","000000")</f>
        <v>014459</v>
      </c>
      <c r="C86" s="6" t="s">
        <v>96</v>
      </c>
      <c r="D86" s="6" t="str">
        <f>TEXT("19/03/2007","dd/mm/yyyy")</f>
        <v>19/03/2007</v>
      </c>
      <c r="E86" s="6" t="s">
        <v>13</v>
      </c>
      <c r="F86" s="6" t="s">
        <v>14</v>
      </c>
      <c r="G86" s="6">
        <v>16.149999999999999</v>
      </c>
      <c r="H86" s="7" t="s">
        <v>80</v>
      </c>
    </row>
    <row r="87" spans="1:8" ht="16.5" customHeight="1" x14ac:dyDescent="0.25">
      <c r="A87" s="4">
        <v>33</v>
      </c>
      <c r="B87" s="6" t="str">
        <f>TEXT("014667","000000")</f>
        <v>014667</v>
      </c>
      <c r="C87" s="6" t="s">
        <v>97</v>
      </c>
      <c r="D87" s="6" t="str">
        <f>TEXT("26/12/2007","dd/mm/yyyy")</f>
        <v>26/12/2007</v>
      </c>
      <c r="E87" s="6" t="s">
        <v>13</v>
      </c>
      <c r="F87" s="6" t="s">
        <v>14</v>
      </c>
      <c r="G87" s="6">
        <v>24.85</v>
      </c>
      <c r="H87" s="7" t="s">
        <v>80</v>
      </c>
    </row>
    <row r="88" spans="1:8" ht="16.5" customHeight="1" x14ac:dyDescent="0.25">
      <c r="A88" s="4">
        <v>34</v>
      </c>
      <c r="B88" s="6" t="str">
        <f>TEXT("015429","000000")</f>
        <v>015429</v>
      </c>
      <c r="C88" s="6" t="s">
        <v>98</v>
      </c>
      <c r="D88" s="6" t="str">
        <f>TEXT("19/09/2007","dd/mm/yyyy")</f>
        <v>19/09/2007</v>
      </c>
      <c r="E88" s="6" t="s">
        <v>13</v>
      </c>
      <c r="F88" s="6" t="s">
        <v>14</v>
      </c>
      <c r="G88" s="6">
        <v>21.75</v>
      </c>
      <c r="H88" s="7" t="s">
        <v>80</v>
      </c>
    </row>
    <row r="89" spans="1:8" ht="16.5" customHeight="1" x14ac:dyDescent="0.25">
      <c r="A89" s="4">
        <v>35</v>
      </c>
      <c r="B89" s="6" t="str">
        <f>TEXT("016086","000000")</f>
        <v>016086</v>
      </c>
      <c r="C89" s="6" t="s">
        <v>99</v>
      </c>
      <c r="D89" s="6" t="str">
        <f>TEXT("14/07/2007","dd/mm/yyyy")</f>
        <v>14/07/2007</v>
      </c>
      <c r="E89" s="6" t="s">
        <v>13</v>
      </c>
      <c r="F89" s="6" t="s">
        <v>14</v>
      </c>
      <c r="G89" s="6">
        <v>23.9</v>
      </c>
      <c r="H89" s="7" t="s">
        <v>80</v>
      </c>
    </row>
    <row r="90" spans="1:8" ht="16.5" customHeight="1" x14ac:dyDescent="0.25">
      <c r="A90" s="4">
        <v>36</v>
      </c>
      <c r="B90" s="6" t="str">
        <f>TEXT("012825","000000")</f>
        <v>012825</v>
      </c>
      <c r="C90" s="6" t="s">
        <v>112</v>
      </c>
      <c r="D90" s="6" t="str">
        <f>TEXT("28/04/2007","dd/mm/yyyy")</f>
        <v>28/04/2007</v>
      </c>
      <c r="E90" s="6" t="s">
        <v>13</v>
      </c>
      <c r="F90" s="6" t="s">
        <v>14</v>
      </c>
      <c r="G90" s="6">
        <v>19</v>
      </c>
      <c r="H90" s="9" t="s">
        <v>113</v>
      </c>
    </row>
    <row r="91" spans="1:8" ht="16.5" customHeight="1" x14ac:dyDescent="0.25">
      <c r="A91" s="4">
        <v>37</v>
      </c>
      <c r="B91" s="6" t="str">
        <f>TEXT("000293","000000")</f>
        <v>000293</v>
      </c>
      <c r="C91" s="6" t="s">
        <v>100</v>
      </c>
      <c r="D91" s="6" t="str">
        <f>TEXT("01/08/2007","dd/mm/yyyy")</f>
        <v>01/08/2007</v>
      </c>
      <c r="E91" s="6" t="s">
        <v>20</v>
      </c>
      <c r="F91" s="6" t="s">
        <v>14</v>
      </c>
      <c r="G91" s="6">
        <v>20.25</v>
      </c>
      <c r="H91" s="7" t="s">
        <v>101</v>
      </c>
    </row>
    <row r="92" spans="1:8" ht="16.5" customHeight="1" x14ac:dyDescent="0.25">
      <c r="A92" s="4">
        <v>38</v>
      </c>
      <c r="B92" s="6" t="str">
        <f>TEXT("001340","000000")</f>
        <v>001340</v>
      </c>
      <c r="C92" s="6" t="s">
        <v>102</v>
      </c>
      <c r="D92" s="6" t="str">
        <f>TEXT("23/12/2007","dd/mm/yyyy")</f>
        <v>23/12/2007</v>
      </c>
      <c r="E92" s="6" t="s">
        <v>20</v>
      </c>
      <c r="F92" s="6" t="s">
        <v>14</v>
      </c>
      <c r="G92" s="6">
        <v>16.2</v>
      </c>
      <c r="H92" s="7" t="s">
        <v>101</v>
      </c>
    </row>
    <row r="93" spans="1:8" ht="16.5" customHeight="1" x14ac:dyDescent="0.25">
      <c r="A93" s="4">
        <v>39</v>
      </c>
      <c r="B93" s="6" t="str">
        <f>TEXT("004220","000000")</f>
        <v>004220</v>
      </c>
      <c r="C93" s="6" t="s">
        <v>103</v>
      </c>
      <c r="D93" s="6" t="str">
        <f>TEXT("05/06/2007","dd/mm/yyyy")</f>
        <v>05/06/2007</v>
      </c>
      <c r="E93" s="6" t="s">
        <v>20</v>
      </c>
      <c r="F93" s="6" t="s">
        <v>14</v>
      </c>
      <c r="G93" s="6">
        <v>19.05</v>
      </c>
      <c r="H93" s="7" t="s">
        <v>101</v>
      </c>
    </row>
    <row r="94" spans="1:8" ht="16.5" customHeight="1" x14ac:dyDescent="0.25">
      <c r="A94" s="4">
        <v>40</v>
      </c>
      <c r="B94" s="6" t="str">
        <f>TEXT("004673","000000")</f>
        <v>004673</v>
      </c>
      <c r="C94" s="6" t="s">
        <v>104</v>
      </c>
      <c r="D94" s="6" t="str">
        <f>TEXT("01/08/2007","dd/mm/yyyy")</f>
        <v>01/08/2007</v>
      </c>
      <c r="E94" s="6" t="s">
        <v>13</v>
      </c>
      <c r="F94" s="6" t="s">
        <v>14</v>
      </c>
      <c r="G94" s="6">
        <v>18.149999999999999</v>
      </c>
      <c r="H94" s="7" t="s">
        <v>101</v>
      </c>
    </row>
    <row r="95" spans="1:8" ht="16.5" customHeight="1" x14ac:dyDescent="0.25">
      <c r="A95" s="4">
        <v>41</v>
      </c>
      <c r="B95" s="6" t="str">
        <f>TEXT("005522","000000")</f>
        <v>005522</v>
      </c>
      <c r="C95" s="6" t="s">
        <v>105</v>
      </c>
      <c r="D95" s="6" t="str">
        <f>TEXT("09/09/2007","dd/mm/yyyy")</f>
        <v>09/09/2007</v>
      </c>
      <c r="E95" s="6" t="s">
        <v>20</v>
      </c>
      <c r="F95" s="6" t="s">
        <v>14</v>
      </c>
      <c r="G95" s="6">
        <v>18.600000000000001</v>
      </c>
      <c r="H95" s="7" t="s">
        <v>101</v>
      </c>
    </row>
    <row r="96" spans="1:8" ht="16.5" customHeight="1" x14ac:dyDescent="0.25">
      <c r="A96" s="4">
        <v>42</v>
      </c>
      <c r="B96" s="6" t="str">
        <f>TEXT("007092","000000")</f>
        <v>007092</v>
      </c>
      <c r="C96" s="6" t="s">
        <v>106</v>
      </c>
      <c r="D96" s="6" t="str">
        <f>TEXT("09/10/2007","dd/mm/yyyy")</f>
        <v>09/10/2007</v>
      </c>
      <c r="E96" s="6" t="s">
        <v>20</v>
      </c>
      <c r="F96" s="6" t="s">
        <v>14</v>
      </c>
      <c r="G96" s="6">
        <v>17.850000000000001</v>
      </c>
      <c r="H96" s="7" t="s">
        <v>101</v>
      </c>
    </row>
    <row r="97" spans="1:9" ht="16.5" customHeight="1" x14ac:dyDescent="0.25">
      <c r="A97" s="4">
        <v>43</v>
      </c>
      <c r="B97" s="6" t="str">
        <f>TEXT("008014","000000")</f>
        <v>008014</v>
      </c>
      <c r="C97" s="6" t="s">
        <v>107</v>
      </c>
      <c r="D97" s="6" t="str">
        <f>TEXT("11/10/2007","dd/mm/yyyy")</f>
        <v>11/10/2007</v>
      </c>
      <c r="E97" s="6" t="s">
        <v>13</v>
      </c>
      <c r="F97" s="6" t="s">
        <v>14</v>
      </c>
      <c r="G97" s="6">
        <v>17.149999999999999</v>
      </c>
      <c r="H97" s="7" t="s">
        <v>101</v>
      </c>
    </row>
    <row r="98" spans="1:9" ht="16.5" customHeight="1" x14ac:dyDescent="0.25">
      <c r="A98" s="4">
        <v>44</v>
      </c>
      <c r="B98" s="6" t="str">
        <f>TEXT("008995","000000")</f>
        <v>008995</v>
      </c>
      <c r="C98" s="6" t="s">
        <v>108</v>
      </c>
      <c r="D98" s="6" t="str">
        <f>TEXT("10/09/2007","dd/mm/yyyy")</f>
        <v>10/09/2007</v>
      </c>
      <c r="E98" s="6" t="s">
        <v>13</v>
      </c>
      <c r="F98" s="6" t="s">
        <v>14</v>
      </c>
      <c r="G98" s="6">
        <v>16.149999999999999</v>
      </c>
      <c r="H98" s="7" t="s">
        <v>101</v>
      </c>
    </row>
    <row r="99" spans="1:9" ht="15" x14ac:dyDescent="0.25">
      <c r="A99" s="17" t="s">
        <v>0</v>
      </c>
      <c r="B99" s="17"/>
      <c r="C99" s="17"/>
      <c r="D99" s="17"/>
      <c r="E99" s="17"/>
      <c r="F99" s="17"/>
      <c r="G99" s="12"/>
      <c r="H99" s="12"/>
      <c r="I99" s="1"/>
    </row>
    <row r="100" spans="1:9" ht="15" x14ac:dyDescent="0.25">
      <c r="A100" s="17" t="s">
        <v>1</v>
      </c>
      <c r="B100" s="17"/>
      <c r="C100" s="17"/>
      <c r="D100" s="17"/>
      <c r="E100" s="17"/>
      <c r="F100" s="17"/>
      <c r="G100" s="17"/>
      <c r="H100" s="17"/>
      <c r="I100" s="1"/>
    </row>
    <row r="101" spans="1:9" ht="15" x14ac:dyDescent="0.25">
      <c r="A101" s="17" t="s">
        <v>2</v>
      </c>
      <c r="B101" s="17"/>
      <c r="C101" s="17"/>
      <c r="D101" s="17"/>
      <c r="E101" s="17"/>
      <c r="F101" s="17"/>
      <c r="G101" s="12"/>
      <c r="H101" s="12"/>
      <c r="I101" s="1"/>
    </row>
    <row r="102" spans="1:9" x14ac:dyDescent="0.2">
      <c r="A102" s="18" t="s">
        <v>380</v>
      </c>
      <c r="B102" s="19"/>
      <c r="C102" s="19"/>
      <c r="D102" s="19"/>
      <c r="E102" s="19"/>
      <c r="F102" s="19"/>
      <c r="G102" s="19"/>
      <c r="H102" s="19"/>
      <c r="I102" s="19"/>
    </row>
    <row r="103" spans="1:9" ht="40.5" customHeight="1" x14ac:dyDescent="0.2">
      <c r="A103" s="2" t="s">
        <v>3</v>
      </c>
      <c r="B103" s="2" t="s">
        <v>4</v>
      </c>
      <c r="C103" s="2" t="s">
        <v>5</v>
      </c>
      <c r="D103" s="2" t="s">
        <v>6</v>
      </c>
      <c r="E103" s="2" t="s">
        <v>7</v>
      </c>
      <c r="F103" s="2" t="s">
        <v>8</v>
      </c>
      <c r="G103" s="2" t="s">
        <v>9</v>
      </c>
      <c r="H103" s="14" t="s">
        <v>11</v>
      </c>
      <c r="I103" s="15" t="s">
        <v>10</v>
      </c>
    </row>
    <row r="104" spans="1:9" ht="16.5" customHeight="1" x14ac:dyDescent="0.25">
      <c r="A104" s="16">
        <v>1</v>
      </c>
      <c r="B104" s="16" t="str">
        <f>TEXT("012268","000000")</f>
        <v>012268</v>
      </c>
      <c r="C104" s="16" t="s">
        <v>109</v>
      </c>
      <c r="D104" s="16" t="str">
        <f>TEXT("11/11/2007","dd/mm/yyyy")</f>
        <v>11/11/2007</v>
      </c>
      <c r="E104" s="16" t="s">
        <v>20</v>
      </c>
      <c r="F104" s="16" t="s">
        <v>14</v>
      </c>
      <c r="G104" s="16">
        <v>17.399999999999999</v>
      </c>
      <c r="H104" s="7" t="s">
        <v>101</v>
      </c>
      <c r="I104" s="11"/>
    </row>
    <row r="105" spans="1:9" ht="16.5" customHeight="1" x14ac:dyDescent="0.25">
      <c r="A105" s="16">
        <v>2</v>
      </c>
      <c r="B105" s="16" t="str">
        <f>TEXT("013738","000000")</f>
        <v>013738</v>
      </c>
      <c r="C105" s="16" t="s">
        <v>110</v>
      </c>
      <c r="D105" s="16" t="str">
        <f>TEXT("09/04/2007","dd/mm/yyyy")</f>
        <v>09/04/2007</v>
      </c>
      <c r="E105" s="16" t="s">
        <v>13</v>
      </c>
      <c r="F105" s="16" t="s">
        <v>14</v>
      </c>
      <c r="G105" s="16">
        <v>17.75</v>
      </c>
      <c r="H105" s="7" t="s">
        <v>101</v>
      </c>
      <c r="I105" s="11"/>
    </row>
    <row r="106" spans="1:9" ht="16.5" customHeight="1" x14ac:dyDescent="0.25">
      <c r="A106" s="16">
        <v>3</v>
      </c>
      <c r="B106" s="16" t="str">
        <f>TEXT("014540","000000")</f>
        <v>014540</v>
      </c>
      <c r="C106" s="16" t="s">
        <v>111</v>
      </c>
      <c r="D106" s="16" t="str">
        <f>TEXT("09/10/2007","dd/mm/yyyy")</f>
        <v>09/10/2007</v>
      </c>
      <c r="E106" s="16" t="s">
        <v>13</v>
      </c>
      <c r="F106" s="16" t="s">
        <v>14</v>
      </c>
      <c r="G106" s="16">
        <v>17.600000000000001</v>
      </c>
      <c r="H106" s="10" t="s">
        <v>101</v>
      </c>
      <c r="I106" s="11"/>
    </row>
    <row r="107" spans="1:9" ht="16.5" customHeight="1" x14ac:dyDescent="0.25">
      <c r="A107" s="16">
        <v>4</v>
      </c>
      <c r="B107" s="16" t="str">
        <f>TEXT("008957","000000")</f>
        <v>008957</v>
      </c>
      <c r="C107" s="16" t="s">
        <v>114</v>
      </c>
      <c r="D107" s="16" t="str">
        <f>TEXT("06/02/2007","dd/mm/yyyy")</f>
        <v>06/02/2007</v>
      </c>
      <c r="E107" s="16" t="s">
        <v>13</v>
      </c>
      <c r="F107" s="16" t="s">
        <v>14</v>
      </c>
      <c r="G107" s="16">
        <v>19.3</v>
      </c>
      <c r="H107" s="7" t="s">
        <v>115</v>
      </c>
      <c r="I107" s="11"/>
    </row>
    <row r="108" spans="1:9" ht="16.5" customHeight="1" x14ac:dyDescent="0.25">
      <c r="A108" s="16">
        <v>5</v>
      </c>
      <c r="B108" s="16" t="str">
        <f>TEXT("004110","000000")</f>
        <v>004110</v>
      </c>
      <c r="C108" s="16" t="s">
        <v>116</v>
      </c>
      <c r="D108" s="16" t="str">
        <f>TEXT("14/10/2006","dd/mm/yyyy")</f>
        <v>14/10/2006</v>
      </c>
      <c r="E108" s="16" t="s">
        <v>20</v>
      </c>
      <c r="F108" s="16" t="s">
        <v>14</v>
      </c>
      <c r="G108" s="16">
        <v>18.100000000000001</v>
      </c>
      <c r="H108" s="7" t="s">
        <v>117</v>
      </c>
      <c r="I108" s="11"/>
    </row>
    <row r="109" spans="1:9" ht="16.5" customHeight="1" x14ac:dyDescent="0.25">
      <c r="A109" s="16">
        <v>6</v>
      </c>
      <c r="B109" s="16" t="str">
        <f>TEXT("000046","000000")</f>
        <v>000046</v>
      </c>
      <c r="C109" s="16" t="s">
        <v>118</v>
      </c>
      <c r="D109" s="16" t="str">
        <f>TEXT("10/01/2007","dd/mm/yyyy")</f>
        <v>10/01/2007</v>
      </c>
      <c r="E109" s="16" t="s">
        <v>20</v>
      </c>
      <c r="F109" s="16" t="s">
        <v>14</v>
      </c>
      <c r="G109" s="16">
        <v>19.05</v>
      </c>
      <c r="H109" s="7" t="s">
        <v>119</v>
      </c>
      <c r="I109" s="11"/>
    </row>
    <row r="110" spans="1:9" ht="16.5" customHeight="1" x14ac:dyDescent="0.25">
      <c r="A110" s="16">
        <v>7</v>
      </c>
      <c r="B110" s="16" t="str">
        <f>TEXT("000643","000000")</f>
        <v>000643</v>
      </c>
      <c r="C110" s="16" t="s">
        <v>120</v>
      </c>
      <c r="D110" s="16" t="str">
        <f>TEXT("29/6/2007","dd/mm/yyyy")</f>
        <v>29/06/2007</v>
      </c>
      <c r="E110" s="16" t="s">
        <v>13</v>
      </c>
      <c r="F110" s="16" t="s">
        <v>14</v>
      </c>
      <c r="G110" s="16">
        <v>18.95</v>
      </c>
      <c r="H110" s="7" t="s">
        <v>119</v>
      </c>
      <c r="I110" s="11"/>
    </row>
    <row r="111" spans="1:9" ht="16.5" customHeight="1" x14ac:dyDescent="0.25">
      <c r="A111" s="16">
        <v>8</v>
      </c>
      <c r="B111" s="16" t="str">
        <f>TEXT("001690","000000")</f>
        <v>001690</v>
      </c>
      <c r="C111" s="16" t="s">
        <v>121</v>
      </c>
      <c r="D111" s="16" t="str">
        <f>TEXT("14/12/2007","dd/mm/yyyy")</f>
        <v>14/12/2007</v>
      </c>
      <c r="E111" s="16" t="s">
        <v>13</v>
      </c>
      <c r="F111" s="16" t="s">
        <v>14</v>
      </c>
      <c r="G111" s="16">
        <v>20.8</v>
      </c>
      <c r="H111" s="7" t="s">
        <v>119</v>
      </c>
      <c r="I111" s="11"/>
    </row>
    <row r="112" spans="1:9" ht="16.5" customHeight="1" x14ac:dyDescent="0.25">
      <c r="A112" s="16">
        <v>9</v>
      </c>
      <c r="B112" s="16" t="str">
        <f>TEXT("002476","000000")</f>
        <v>002476</v>
      </c>
      <c r="C112" s="16" t="s">
        <v>122</v>
      </c>
      <c r="D112" s="16" t="str">
        <f>TEXT("30/12/2006","dd/mm/yyyy")</f>
        <v>30/12/2006</v>
      </c>
      <c r="E112" s="16" t="s">
        <v>13</v>
      </c>
      <c r="F112" s="16" t="s">
        <v>14</v>
      </c>
      <c r="G112" s="16">
        <v>16.3</v>
      </c>
      <c r="H112" s="7" t="s">
        <v>119</v>
      </c>
      <c r="I112" s="11"/>
    </row>
    <row r="113" spans="1:9" ht="16.5" customHeight="1" x14ac:dyDescent="0.25">
      <c r="A113" s="16">
        <v>10</v>
      </c>
      <c r="B113" s="16" t="str">
        <f>TEXT("004084","000000")</f>
        <v>004084</v>
      </c>
      <c r="C113" s="16" t="s">
        <v>123</v>
      </c>
      <c r="D113" s="16" t="str">
        <f>TEXT("06/6/2007","dd/mm/yyyy")</f>
        <v>06/06/2007</v>
      </c>
      <c r="E113" s="16" t="s">
        <v>20</v>
      </c>
      <c r="F113" s="16" t="s">
        <v>14</v>
      </c>
      <c r="G113" s="16">
        <v>17.600000000000001</v>
      </c>
      <c r="H113" s="7" t="s">
        <v>119</v>
      </c>
      <c r="I113" s="11"/>
    </row>
    <row r="114" spans="1:9" ht="16.5" customHeight="1" x14ac:dyDescent="0.25">
      <c r="A114" s="16">
        <v>11</v>
      </c>
      <c r="B114" s="16" t="str">
        <f>TEXT("004730","000000")</f>
        <v>004730</v>
      </c>
      <c r="C114" s="16" t="s">
        <v>124</v>
      </c>
      <c r="D114" s="16" t="str">
        <f>TEXT("1/10/2007","dd/mm/yyyy")</f>
        <v>01/10/2007</v>
      </c>
      <c r="E114" s="16" t="s">
        <v>13</v>
      </c>
      <c r="F114" s="16" t="s">
        <v>14</v>
      </c>
      <c r="G114" s="16">
        <v>16.899999999999999</v>
      </c>
      <c r="H114" s="7" t="s">
        <v>119</v>
      </c>
      <c r="I114" s="11"/>
    </row>
    <row r="115" spans="1:9" ht="16.5" customHeight="1" x14ac:dyDescent="0.25">
      <c r="A115" s="16">
        <v>12</v>
      </c>
      <c r="B115" s="16" t="str">
        <f>TEXT("006859","000000")</f>
        <v>006859</v>
      </c>
      <c r="C115" s="16" t="s">
        <v>125</v>
      </c>
      <c r="D115" s="16" t="str">
        <f>TEXT("2/8/2007","dd/mm/yyyy")</f>
        <v>02/08/2007</v>
      </c>
      <c r="E115" s="16" t="s">
        <v>13</v>
      </c>
      <c r="F115" s="16" t="s">
        <v>14</v>
      </c>
      <c r="G115" s="16">
        <v>16.850000000000001</v>
      </c>
      <c r="H115" s="7" t="s">
        <v>119</v>
      </c>
      <c r="I115" s="11"/>
    </row>
    <row r="116" spans="1:9" ht="16.5" customHeight="1" x14ac:dyDescent="0.25">
      <c r="A116" s="16">
        <v>13</v>
      </c>
      <c r="B116" s="16" t="str">
        <f>TEXT("007528","000000")</f>
        <v>007528</v>
      </c>
      <c r="C116" s="16" t="s">
        <v>126</v>
      </c>
      <c r="D116" s="16" t="str">
        <f>TEXT("10/10/2007","dd/mm/yyyy")</f>
        <v>10/10/2007</v>
      </c>
      <c r="E116" s="16" t="s">
        <v>20</v>
      </c>
      <c r="F116" s="16" t="s">
        <v>14</v>
      </c>
      <c r="G116" s="16">
        <v>18</v>
      </c>
      <c r="H116" s="7" t="s">
        <v>119</v>
      </c>
      <c r="I116" s="11"/>
    </row>
    <row r="117" spans="1:9" ht="16.5" customHeight="1" x14ac:dyDescent="0.25">
      <c r="A117" s="16">
        <v>14</v>
      </c>
      <c r="B117" s="16" t="str">
        <f>TEXT("008961","000000")</f>
        <v>008961</v>
      </c>
      <c r="C117" s="16" t="s">
        <v>127</v>
      </c>
      <c r="D117" s="16" t="str">
        <f>TEXT("27/9/2007","dd/mm/yyyy")</f>
        <v>27/09/2007</v>
      </c>
      <c r="E117" s="16" t="s">
        <v>13</v>
      </c>
      <c r="F117" s="16" t="s">
        <v>14</v>
      </c>
      <c r="G117" s="16">
        <v>17.149999999999999</v>
      </c>
      <c r="H117" s="7" t="s">
        <v>119</v>
      </c>
      <c r="I117" s="11"/>
    </row>
    <row r="118" spans="1:9" ht="16.5" customHeight="1" x14ac:dyDescent="0.25">
      <c r="A118" s="16">
        <v>15</v>
      </c>
      <c r="B118" s="16" t="str">
        <f>TEXT("012675","000000")</f>
        <v>012675</v>
      </c>
      <c r="C118" s="16" t="s">
        <v>128</v>
      </c>
      <c r="D118" s="16" t="str">
        <f>TEXT("30/10/2007","dd/mm/yyyy")</f>
        <v>30/10/2007</v>
      </c>
      <c r="E118" s="16" t="s">
        <v>13</v>
      </c>
      <c r="F118" s="16" t="s">
        <v>14</v>
      </c>
      <c r="G118" s="16">
        <v>17.7</v>
      </c>
      <c r="H118" s="7" t="s">
        <v>119</v>
      </c>
      <c r="I118" s="11"/>
    </row>
    <row r="119" spans="1:9" ht="16.5" customHeight="1" x14ac:dyDescent="0.25">
      <c r="A119" s="16">
        <v>16</v>
      </c>
      <c r="B119" s="16" t="str">
        <f>TEXT("012810","000000")</f>
        <v>012810</v>
      </c>
      <c r="C119" s="16" t="s">
        <v>129</v>
      </c>
      <c r="D119" s="16" t="str">
        <f>TEXT("04/1/2007","dd/mm/yyyy")</f>
        <v>04/01/2007</v>
      </c>
      <c r="E119" s="16" t="s">
        <v>13</v>
      </c>
      <c r="F119" s="16" t="s">
        <v>14</v>
      </c>
      <c r="G119" s="16">
        <v>17.05</v>
      </c>
      <c r="H119" s="7" t="s">
        <v>119</v>
      </c>
      <c r="I119" s="11"/>
    </row>
    <row r="120" spans="1:9" ht="16.5" customHeight="1" x14ac:dyDescent="0.25">
      <c r="A120" s="16">
        <v>17</v>
      </c>
      <c r="B120" s="16" t="str">
        <f>TEXT("013257","000000")</f>
        <v>013257</v>
      </c>
      <c r="C120" s="16" t="s">
        <v>130</v>
      </c>
      <c r="D120" s="16" t="str">
        <f>TEXT("01/9/2007","dd/mm/yyyy")</f>
        <v>01/09/2007</v>
      </c>
      <c r="E120" s="16" t="s">
        <v>13</v>
      </c>
      <c r="F120" s="16" t="s">
        <v>14</v>
      </c>
      <c r="G120" s="16">
        <v>17.600000000000001</v>
      </c>
      <c r="H120" s="7" t="s">
        <v>119</v>
      </c>
      <c r="I120" s="11"/>
    </row>
    <row r="121" spans="1:9" ht="16.5" customHeight="1" x14ac:dyDescent="0.25">
      <c r="A121" s="16">
        <v>18</v>
      </c>
      <c r="B121" s="16" t="str">
        <f>TEXT("013497","000000")</f>
        <v>013497</v>
      </c>
      <c r="C121" s="16" t="s">
        <v>131</v>
      </c>
      <c r="D121" s="16" t="str">
        <f>TEXT("8/2/2007","dd/mm/yyyy")</f>
        <v>08/02/2007</v>
      </c>
      <c r="E121" s="16" t="s">
        <v>20</v>
      </c>
      <c r="F121" s="16" t="s">
        <v>14</v>
      </c>
      <c r="G121" s="16">
        <v>20.85</v>
      </c>
      <c r="H121" s="7" t="s">
        <v>119</v>
      </c>
      <c r="I121" s="11"/>
    </row>
    <row r="122" spans="1:9" ht="16.5" customHeight="1" x14ac:dyDescent="0.25">
      <c r="A122" s="16">
        <v>19</v>
      </c>
      <c r="B122" s="16" t="str">
        <f>TEXT("016368","000000")</f>
        <v>016368</v>
      </c>
      <c r="C122" s="16" t="s">
        <v>132</v>
      </c>
      <c r="D122" s="16" t="str">
        <f>TEXT("3/4/2007","dd/mm/yyyy")</f>
        <v>03/04/2007</v>
      </c>
      <c r="E122" s="16" t="s">
        <v>13</v>
      </c>
      <c r="F122" s="16" t="s">
        <v>14</v>
      </c>
      <c r="G122" s="16">
        <v>17.25</v>
      </c>
      <c r="H122" s="7" t="s">
        <v>119</v>
      </c>
      <c r="I122" s="11"/>
    </row>
    <row r="123" spans="1:9" ht="16.5" customHeight="1" x14ac:dyDescent="0.25">
      <c r="A123" s="16">
        <v>20</v>
      </c>
      <c r="B123" s="16" t="str">
        <f>TEXT("016554","000000")</f>
        <v>016554</v>
      </c>
      <c r="C123" s="16" t="s">
        <v>133</v>
      </c>
      <c r="D123" s="16" t="str">
        <f>TEXT("8/11/2007","dd/mm/yyyy")</f>
        <v>08/11/2007</v>
      </c>
      <c r="E123" s="16" t="s">
        <v>13</v>
      </c>
      <c r="F123" s="16" t="s">
        <v>14</v>
      </c>
      <c r="G123" s="16">
        <v>20.3</v>
      </c>
      <c r="H123" s="7" t="s">
        <v>119</v>
      </c>
      <c r="I123" s="11"/>
    </row>
    <row r="124" spans="1:9" ht="16.5" customHeight="1" x14ac:dyDescent="0.25">
      <c r="A124" s="16">
        <v>21</v>
      </c>
      <c r="B124" s="16" t="str">
        <f>TEXT("017043","000000")</f>
        <v>017043</v>
      </c>
      <c r="C124" s="16" t="s">
        <v>134</v>
      </c>
      <c r="D124" s="16" t="str">
        <f>TEXT("18/11/2007","dd/mm/yyyy")</f>
        <v>18/11/2007</v>
      </c>
      <c r="E124" s="16" t="s">
        <v>13</v>
      </c>
      <c r="F124" s="16" t="s">
        <v>14</v>
      </c>
      <c r="G124" s="16">
        <v>19.8</v>
      </c>
      <c r="H124" s="7" t="s">
        <v>119</v>
      </c>
      <c r="I124" s="11"/>
    </row>
    <row r="125" spans="1:9" ht="16.5" customHeight="1" x14ac:dyDescent="0.25">
      <c r="A125" s="16">
        <v>22</v>
      </c>
      <c r="B125" s="16" t="str">
        <f>TEXT("015631","000000")</f>
        <v>015631</v>
      </c>
      <c r="C125" s="16" t="s">
        <v>135</v>
      </c>
      <c r="D125" s="16" t="str">
        <f>TEXT("20/06/2007","dd/mm/yyyy")</f>
        <v>20/06/2007</v>
      </c>
      <c r="E125" s="16" t="s">
        <v>20</v>
      </c>
      <c r="F125" s="16" t="s">
        <v>14</v>
      </c>
      <c r="G125" s="16">
        <v>18.8</v>
      </c>
      <c r="H125" s="7" t="s">
        <v>136</v>
      </c>
      <c r="I125" s="11"/>
    </row>
    <row r="126" spans="1:9" ht="16.5" customHeight="1" x14ac:dyDescent="0.25">
      <c r="A126" s="16">
        <v>23</v>
      </c>
      <c r="B126" s="16" t="str">
        <f>TEXT("001423","000000")</f>
        <v>001423</v>
      </c>
      <c r="C126" s="16" t="s">
        <v>137</v>
      </c>
      <c r="D126" s="16" t="str">
        <f>TEXT("12/11/2007","dd/mm/yyyy")</f>
        <v>12/11/2007</v>
      </c>
      <c r="E126" s="16" t="s">
        <v>20</v>
      </c>
      <c r="F126" s="16" t="s">
        <v>14</v>
      </c>
      <c r="G126" s="16">
        <v>17.850000000000001</v>
      </c>
      <c r="H126" s="7" t="s">
        <v>138</v>
      </c>
      <c r="I126" s="11"/>
    </row>
    <row r="127" spans="1:9" ht="16.5" customHeight="1" x14ac:dyDescent="0.25">
      <c r="A127" s="16">
        <v>24</v>
      </c>
      <c r="B127" s="16" t="str">
        <f>TEXT("007065","000000")</f>
        <v>007065</v>
      </c>
      <c r="C127" s="16" t="s">
        <v>139</v>
      </c>
      <c r="D127" s="16" t="str">
        <f>TEXT("25/02/2007","dd/mm/yyyy")</f>
        <v>25/02/2007</v>
      </c>
      <c r="E127" s="16" t="s">
        <v>20</v>
      </c>
      <c r="F127" s="16" t="s">
        <v>14</v>
      </c>
      <c r="G127" s="16">
        <v>16.5</v>
      </c>
      <c r="H127" s="7" t="s">
        <v>138</v>
      </c>
      <c r="I127" s="11"/>
    </row>
    <row r="128" spans="1:9" ht="16.5" customHeight="1" x14ac:dyDescent="0.25">
      <c r="A128" s="16">
        <v>25</v>
      </c>
      <c r="B128" s="16" t="str">
        <f>TEXT("008667","000000")</f>
        <v>008667</v>
      </c>
      <c r="C128" s="16" t="s">
        <v>140</v>
      </c>
      <c r="D128" s="16" t="str">
        <f>TEXT("22/11/2007","dd/mm/yyyy")</f>
        <v>22/11/2007</v>
      </c>
      <c r="E128" s="16" t="s">
        <v>13</v>
      </c>
      <c r="F128" s="16" t="s">
        <v>14</v>
      </c>
      <c r="G128" s="16">
        <v>17.399999999999999</v>
      </c>
      <c r="H128" s="7" t="s">
        <v>138</v>
      </c>
      <c r="I128" s="11"/>
    </row>
    <row r="129" spans="1:9" ht="16.5" customHeight="1" x14ac:dyDescent="0.25">
      <c r="A129" s="16">
        <v>26</v>
      </c>
      <c r="B129" s="16" t="str">
        <f>TEXT("010496","000000")</f>
        <v>010496</v>
      </c>
      <c r="C129" s="16" t="s">
        <v>141</v>
      </c>
      <c r="D129" s="16" t="str">
        <f>TEXT("28/07/2007","dd/mm/yyyy")</f>
        <v>28/07/2007</v>
      </c>
      <c r="E129" s="16" t="s">
        <v>20</v>
      </c>
      <c r="F129" s="16" t="s">
        <v>14</v>
      </c>
      <c r="G129" s="16">
        <v>18.05</v>
      </c>
      <c r="H129" s="7" t="s">
        <v>138</v>
      </c>
      <c r="I129" s="11"/>
    </row>
    <row r="130" spans="1:9" ht="16.5" customHeight="1" x14ac:dyDescent="0.25">
      <c r="A130" s="16">
        <v>27</v>
      </c>
      <c r="B130" s="16" t="str">
        <f>TEXT("015059","000000")</f>
        <v>015059</v>
      </c>
      <c r="C130" s="16" t="s">
        <v>142</v>
      </c>
      <c r="D130" s="16" t="str">
        <f>TEXT("10/10/2007","dd/mm/yyyy")</f>
        <v>10/10/2007</v>
      </c>
      <c r="E130" s="16" t="s">
        <v>13</v>
      </c>
      <c r="F130" s="16" t="s">
        <v>14</v>
      </c>
      <c r="G130" s="16">
        <v>18.649999999999999</v>
      </c>
      <c r="H130" s="7" t="s">
        <v>138</v>
      </c>
      <c r="I130" s="11"/>
    </row>
    <row r="131" spans="1:9" ht="16.5" customHeight="1" x14ac:dyDescent="0.25">
      <c r="A131" s="16">
        <v>28</v>
      </c>
      <c r="B131" s="16" t="str">
        <f>TEXT("007922","000000")</f>
        <v>007922</v>
      </c>
      <c r="C131" s="16" t="s">
        <v>143</v>
      </c>
      <c r="D131" s="16" t="str">
        <f>TEXT("28/11/2007","dd/mm/yyyy")</f>
        <v>28/11/2007</v>
      </c>
      <c r="E131" s="16" t="s">
        <v>13</v>
      </c>
      <c r="F131" s="16" t="s">
        <v>14</v>
      </c>
      <c r="G131" s="16">
        <v>17.3</v>
      </c>
      <c r="H131" s="7" t="s">
        <v>144</v>
      </c>
      <c r="I131" s="11"/>
    </row>
    <row r="132" spans="1:9" ht="16.5" customHeight="1" x14ac:dyDescent="0.25">
      <c r="A132" s="16">
        <v>29</v>
      </c>
      <c r="B132" s="16" t="str">
        <f>TEXT("009620","000000")</f>
        <v>009620</v>
      </c>
      <c r="C132" s="16" t="s">
        <v>145</v>
      </c>
      <c r="D132" s="16" t="str">
        <f>TEXT("20/08/2007","dd/mm/yyyy")</f>
        <v>20/08/2007</v>
      </c>
      <c r="E132" s="16" t="s">
        <v>13</v>
      </c>
      <c r="F132" s="16" t="s">
        <v>14</v>
      </c>
      <c r="G132" s="16">
        <v>17.100000000000001</v>
      </c>
      <c r="H132" s="7" t="s">
        <v>144</v>
      </c>
      <c r="I132" s="11"/>
    </row>
    <row r="133" spans="1:9" ht="16.5" customHeight="1" x14ac:dyDescent="0.25">
      <c r="A133" s="16">
        <v>30</v>
      </c>
      <c r="B133" s="16" t="str">
        <f>TEXT("005527","000000")</f>
        <v>005527</v>
      </c>
      <c r="C133" s="16" t="s">
        <v>146</v>
      </c>
      <c r="D133" s="16" t="str">
        <f>TEXT("21/09/2007","dd/mm/yyyy")</f>
        <v>21/09/2007</v>
      </c>
      <c r="E133" s="16" t="s">
        <v>20</v>
      </c>
      <c r="F133" s="16" t="s">
        <v>14</v>
      </c>
      <c r="G133" s="16">
        <v>17.7</v>
      </c>
      <c r="H133" s="7" t="s">
        <v>147</v>
      </c>
      <c r="I133" s="11"/>
    </row>
    <row r="134" spans="1:9" ht="16.5" customHeight="1" x14ac:dyDescent="0.25">
      <c r="A134" s="16">
        <v>31</v>
      </c>
      <c r="B134" s="16" t="str">
        <f>TEXT("007365","000000")</f>
        <v>007365</v>
      </c>
      <c r="C134" s="16" t="s">
        <v>148</v>
      </c>
      <c r="D134" s="16" t="str">
        <f>TEXT("07/12/2007","dd/mm/yyyy")</f>
        <v>07/12/2007</v>
      </c>
      <c r="E134" s="16" t="s">
        <v>13</v>
      </c>
      <c r="F134" s="16" t="s">
        <v>14</v>
      </c>
      <c r="G134" s="16">
        <v>17.399999999999999</v>
      </c>
      <c r="H134" s="7" t="s">
        <v>147</v>
      </c>
      <c r="I134" s="11"/>
    </row>
    <row r="135" spans="1:9" ht="16.5" customHeight="1" x14ac:dyDescent="0.25">
      <c r="A135" s="16">
        <v>32</v>
      </c>
      <c r="B135" s="16" t="str">
        <f>TEXT("007760","000000")</f>
        <v>007760</v>
      </c>
      <c r="C135" s="16" t="s">
        <v>149</v>
      </c>
      <c r="D135" s="16" t="str">
        <f>TEXT("23/10/2007","dd/mm/yyyy")</f>
        <v>23/10/2007</v>
      </c>
      <c r="E135" s="16" t="s">
        <v>20</v>
      </c>
      <c r="F135" s="16" t="s">
        <v>14</v>
      </c>
      <c r="G135" s="16">
        <v>16.149999999999999</v>
      </c>
      <c r="H135" s="7" t="s">
        <v>147</v>
      </c>
      <c r="I135" s="11"/>
    </row>
    <row r="136" spans="1:9" ht="16.5" customHeight="1" x14ac:dyDescent="0.25">
      <c r="A136" s="16">
        <v>33</v>
      </c>
      <c r="B136" s="16" t="str">
        <f>TEXT("008408","000000")</f>
        <v>008408</v>
      </c>
      <c r="C136" s="16" t="s">
        <v>150</v>
      </c>
      <c r="D136" s="16" t="str">
        <f>TEXT("27/08/2007","dd/mm/yyyy")</f>
        <v>27/08/2007</v>
      </c>
      <c r="E136" s="16" t="s">
        <v>13</v>
      </c>
      <c r="F136" s="16" t="s">
        <v>151</v>
      </c>
      <c r="G136" s="16">
        <v>17.45</v>
      </c>
      <c r="H136" s="7" t="s">
        <v>147</v>
      </c>
      <c r="I136" s="11"/>
    </row>
    <row r="137" spans="1:9" ht="16.5" customHeight="1" x14ac:dyDescent="0.25">
      <c r="A137" s="16">
        <v>34</v>
      </c>
      <c r="B137" s="16" t="str">
        <f>TEXT("011127","000000")</f>
        <v>011127</v>
      </c>
      <c r="C137" s="16" t="s">
        <v>152</v>
      </c>
      <c r="D137" s="16" t="str">
        <f>TEXT("30/01/2007","dd/mm/yyyy")</f>
        <v>30/01/2007</v>
      </c>
      <c r="E137" s="16" t="s">
        <v>20</v>
      </c>
      <c r="F137" s="16" t="s">
        <v>14</v>
      </c>
      <c r="G137" s="16">
        <v>20.75</v>
      </c>
      <c r="H137" s="7" t="s">
        <v>147</v>
      </c>
      <c r="I137" s="11"/>
    </row>
    <row r="138" spans="1:9" ht="16.5" customHeight="1" x14ac:dyDescent="0.25">
      <c r="A138" s="16">
        <v>35</v>
      </c>
      <c r="B138" s="16" t="str">
        <f>TEXT("011440","000000")</f>
        <v>011440</v>
      </c>
      <c r="C138" s="16" t="s">
        <v>153</v>
      </c>
      <c r="D138" s="16" t="str">
        <f>TEXT("07/08/2007","dd/mm/yyyy")</f>
        <v>07/08/2007</v>
      </c>
      <c r="E138" s="16" t="s">
        <v>13</v>
      </c>
      <c r="F138" s="16" t="s">
        <v>14</v>
      </c>
      <c r="G138" s="16">
        <v>17.75</v>
      </c>
      <c r="H138" s="7" t="s">
        <v>147</v>
      </c>
      <c r="I138" s="11"/>
    </row>
    <row r="139" spans="1:9" ht="16.5" customHeight="1" x14ac:dyDescent="0.25">
      <c r="A139" s="16">
        <v>36</v>
      </c>
      <c r="B139" s="16" t="str">
        <f>TEXT("013533","000000")</f>
        <v>013533</v>
      </c>
      <c r="C139" s="16" t="s">
        <v>154</v>
      </c>
      <c r="D139" s="16" t="str">
        <f>TEXT("15/07/2007","dd/mm/yyyy")</f>
        <v>15/07/2007</v>
      </c>
      <c r="E139" s="16" t="s">
        <v>20</v>
      </c>
      <c r="F139" s="16" t="s">
        <v>14</v>
      </c>
      <c r="G139" s="16">
        <v>17.649999999999999</v>
      </c>
      <c r="H139" s="7" t="s">
        <v>147</v>
      </c>
      <c r="I139" s="11"/>
    </row>
    <row r="140" spans="1:9" ht="16.5" customHeight="1" x14ac:dyDescent="0.25">
      <c r="A140" s="16">
        <v>37</v>
      </c>
      <c r="B140" s="16" t="str">
        <f>TEXT("013732","000000")</f>
        <v>013732</v>
      </c>
      <c r="C140" s="16" t="s">
        <v>110</v>
      </c>
      <c r="D140" s="16" t="str">
        <f>TEXT("10/05/2007","dd/mm/yyyy")</f>
        <v>10/05/2007</v>
      </c>
      <c r="E140" s="16" t="s">
        <v>13</v>
      </c>
      <c r="F140" s="16" t="s">
        <v>14</v>
      </c>
      <c r="G140" s="16">
        <v>19.350000000000001</v>
      </c>
      <c r="H140" s="7" t="s">
        <v>147</v>
      </c>
      <c r="I140" s="11"/>
    </row>
    <row r="141" spans="1:9" ht="16.5" customHeight="1" x14ac:dyDescent="0.25">
      <c r="A141" s="16">
        <v>38</v>
      </c>
      <c r="B141" s="16" t="str">
        <f>TEXT("013750","000000")</f>
        <v>013750</v>
      </c>
      <c r="C141" s="16" t="s">
        <v>110</v>
      </c>
      <c r="D141" s="16" t="str">
        <f>TEXT("17/11/2007","dd/mm/yyyy")</f>
        <v>17/11/2007</v>
      </c>
      <c r="E141" s="16" t="s">
        <v>13</v>
      </c>
      <c r="F141" s="16" t="s">
        <v>14</v>
      </c>
      <c r="G141" s="16">
        <v>16.95</v>
      </c>
      <c r="H141" s="7" t="s">
        <v>147</v>
      </c>
      <c r="I141" s="11"/>
    </row>
    <row r="142" spans="1:9" ht="16.5" customHeight="1" x14ac:dyDescent="0.25">
      <c r="A142" s="16">
        <v>39</v>
      </c>
      <c r="B142" s="16" t="str">
        <f>TEXT("015312","000000")</f>
        <v>015312</v>
      </c>
      <c r="C142" s="16" t="s">
        <v>155</v>
      </c>
      <c r="D142" s="16" t="str">
        <f>TEXT("10/01/2007","dd/mm/yyyy")</f>
        <v>10/01/2007</v>
      </c>
      <c r="E142" s="16" t="s">
        <v>13</v>
      </c>
      <c r="F142" s="16" t="s">
        <v>14</v>
      </c>
      <c r="G142" s="16">
        <v>16.45</v>
      </c>
      <c r="H142" s="7" t="s">
        <v>147</v>
      </c>
      <c r="I142" s="11"/>
    </row>
    <row r="143" spans="1:9" ht="16.5" customHeight="1" x14ac:dyDescent="0.25">
      <c r="A143" s="16">
        <v>40</v>
      </c>
      <c r="B143" s="16" t="str">
        <f>TEXT("017169","000000")</f>
        <v>017169</v>
      </c>
      <c r="C143" s="16" t="s">
        <v>156</v>
      </c>
      <c r="D143" s="16" t="str">
        <f>TEXT("27/08/2007","dd/mm/yyyy")</f>
        <v>27/08/2007</v>
      </c>
      <c r="E143" s="16" t="s">
        <v>13</v>
      </c>
      <c r="F143" s="16" t="s">
        <v>14</v>
      </c>
      <c r="G143" s="16">
        <v>17.45</v>
      </c>
      <c r="H143" s="7" t="s">
        <v>147</v>
      </c>
      <c r="I143" s="11"/>
    </row>
    <row r="144" spans="1:9" ht="16.5" customHeight="1" x14ac:dyDescent="0.25">
      <c r="A144" s="16">
        <v>41</v>
      </c>
      <c r="B144" s="16" t="str">
        <f>TEXT("011208","000000")</f>
        <v>011208</v>
      </c>
      <c r="C144" s="16" t="s">
        <v>157</v>
      </c>
      <c r="D144" s="16" t="str">
        <f>TEXT("02/07/2007","dd/mm/yyyy")</f>
        <v>02/07/2007</v>
      </c>
      <c r="E144" s="16" t="s">
        <v>13</v>
      </c>
      <c r="F144" s="16" t="s">
        <v>14</v>
      </c>
      <c r="G144" s="16">
        <v>16.8</v>
      </c>
      <c r="H144" s="7" t="s">
        <v>158</v>
      </c>
      <c r="I144" s="11"/>
    </row>
    <row r="145" spans="1:9" ht="16.5" customHeight="1" x14ac:dyDescent="0.25">
      <c r="A145" s="16">
        <v>42</v>
      </c>
      <c r="B145" s="16" t="str">
        <f>TEXT("012236","000000")</f>
        <v>012236</v>
      </c>
      <c r="C145" s="16" t="s">
        <v>159</v>
      </c>
      <c r="D145" s="16" t="str">
        <f>TEXT("26/03/2007","dd/mm/yyyy")</f>
        <v>26/03/2007</v>
      </c>
      <c r="E145" s="16" t="s">
        <v>13</v>
      </c>
      <c r="F145" s="16" t="s">
        <v>14</v>
      </c>
      <c r="G145" s="16">
        <v>17.899999999999999</v>
      </c>
      <c r="H145" s="7" t="s">
        <v>158</v>
      </c>
      <c r="I145" s="11"/>
    </row>
    <row r="146" spans="1:9" ht="16.5" customHeight="1" x14ac:dyDescent="0.25">
      <c r="A146" s="16">
        <v>43</v>
      </c>
      <c r="B146" s="16" t="str">
        <f>TEXT("013815","000000")</f>
        <v>013815</v>
      </c>
      <c r="C146" s="16" t="s">
        <v>160</v>
      </c>
      <c r="D146" s="16" t="str">
        <f>TEXT("16/02/2007","dd/mm/yyyy")</f>
        <v>16/02/2007</v>
      </c>
      <c r="E146" s="16" t="s">
        <v>13</v>
      </c>
      <c r="F146" s="16" t="s">
        <v>14</v>
      </c>
      <c r="G146" s="16">
        <v>19.8</v>
      </c>
      <c r="H146" s="7" t="s">
        <v>158</v>
      </c>
      <c r="I146" s="11"/>
    </row>
    <row r="147" spans="1:9" ht="16.5" customHeight="1" x14ac:dyDescent="0.25">
      <c r="A147" s="16">
        <v>44</v>
      </c>
      <c r="B147" s="16" t="str">
        <f>TEXT("016198","000000")</f>
        <v>016198</v>
      </c>
      <c r="C147" s="16" t="s">
        <v>161</v>
      </c>
      <c r="D147" s="16" t="str">
        <f>TEXT("22/02/2007","dd/mm/yyyy")</f>
        <v>22/02/2007</v>
      </c>
      <c r="E147" s="16" t="s">
        <v>20</v>
      </c>
      <c r="F147" s="16" t="s">
        <v>14</v>
      </c>
      <c r="G147" s="16">
        <v>19.95</v>
      </c>
      <c r="H147" s="7" t="s">
        <v>158</v>
      </c>
      <c r="I147" s="11"/>
    </row>
    <row r="148" spans="1:9" ht="15" x14ac:dyDescent="0.25">
      <c r="A148" s="17" t="s">
        <v>0</v>
      </c>
      <c r="B148" s="17"/>
      <c r="C148" s="17"/>
      <c r="D148" s="17"/>
      <c r="E148" s="17"/>
      <c r="F148" s="17"/>
      <c r="G148" s="12"/>
      <c r="H148" s="12"/>
      <c r="I148" s="1"/>
    </row>
    <row r="149" spans="1:9" ht="15" x14ac:dyDescent="0.25">
      <c r="A149" s="17" t="s">
        <v>1</v>
      </c>
      <c r="B149" s="17"/>
      <c r="C149" s="17"/>
      <c r="D149" s="17"/>
      <c r="E149" s="17"/>
      <c r="F149" s="17"/>
      <c r="G149" s="17"/>
      <c r="H149" s="17"/>
      <c r="I149" s="1"/>
    </row>
    <row r="150" spans="1:9" ht="15" x14ac:dyDescent="0.25">
      <c r="A150" s="17" t="s">
        <v>2</v>
      </c>
      <c r="B150" s="17"/>
      <c r="C150" s="17"/>
      <c r="D150" s="17"/>
      <c r="E150" s="17"/>
      <c r="F150" s="17"/>
      <c r="G150" s="12"/>
      <c r="H150" s="12"/>
      <c r="I150" s="1"/>
    </row>
    <row r="151" spans="1:9" x14ac:dyDescent="0.2">
      <c r="A151" s="18" t="s">
        <v>381</v>
      </c>
      <c r="B151" s="19"/>
      <c r="C151" s="19"/>
      <c r="D151" s="19"/>
      <c r="E151" s="19"/>
      <c r="F151" s="19"/>
      <c r="G151" s="19"/>
      <c r="H151" s="19"/>
      <c r="I151" s="19"/>
    </row>
    <row r="152" spans="1:9" ht="40.5" customHeight="1" x14ac:dyDescent="0.2">
      <c r="A152" s="2" t="s">
        <v>3</v>
      </c>
      <c r="B152" s="2" t="s">
        <v>4</v>
      </c>
      <c r="C152" s="2" t="s">
        <v>5</v>
      </c>
      <c r="D152" s="2" t="s">
        <v>6</v>
      </c>
      <c r="E152" s="2" t="s">
        <v>7</v>
      </c>
      <c r="F152" s="2" t="s">
        <v>8</v>
      </c>
      <c r="G152" s="2" t="s">
        <v>9</v>
      </c>
      <c r="H152" s="14" t="s">
        <v>11</v>
      </c>
      <c r="I152" s="15" t="s">
        <v>10</v>
      </c>
    </row>
    <row r="153" spans="1:9" ht="16.5" customHeight="1" x14ac:dyDescent="0.25">
      <c r="A153" s="16">
        <v>1</v>
      </c>
      <c r="B153" s="16" t="str">
        <f>TEXT("001101","000000")</f>
        <v>001101</v>
      </c>
      <c r="C153" s="16" t="s">
        <v>18</v>
      </c>
      <c r="D153" s="16" t="str">
        <f>TEXT("08/02/2007","dd/mm/yyyy")</f>
        <v>08/02/2007</v>
      </c>
      <c r="E153" s="16" t="s">
        <v>13</v>
      </c>
      <c r="F153" s="16" t="s">
        <v>14</v>
      </c>
      <c r="G153" s="16">
        <v>17.75</v>
      </c>
      <c r="H153" s="7" t="s">
        <v>162</v>
      </c>
      <c r="I153" s="11"/>
    </row>
    <row r="154" spans="1:9" ht="16.5" customHeight="1" x14ac:dyDescent="0.25">
      <c r="A154" s="16">
        <v>2</v>
      </c>
      <c r="B154" s="16" t="str">
        <f>TEXT("005585","000000")</f>
        <v>005585</v>
      </c>
      <c r="C154" s="16" t="s">
        <v>163</v>
      </c>
      <c r="D154" s="16" t="str">
        <f>TEXT("15/07/2007","dd/mm/yyyy")</f>
        <v>15/07/2007</v>
      </c>
      <c r="E154" s="16" t="s">
        <v>13</v>
      </c>
      <c r="F154" s="16" t="s">
        <v>14</v>
      </c>
      <c r="G154" s="16">
        <v>20.9</v>
      </c>
      <c r="H154" s="7" t="s">
        <v>162</v>
      </c>
      <c r="I154" s="11"/>
    </row>
    <row r="155" spans="1:9" ht="16.5" customHeight="1" x14ac:dyDescent="0.25">
      <c r="A155" s="16">
        <v>3</v>
      </c>
      <c r="B155" s="16" t="str">
        <f>TEXT("000299","000000")</f>
        <v>000299</v>
      </c>
      <c r="C155" s="16" t="s">
        <v>164</v>
      </c>
      <c r="D155" s="16" t="str">
        <f>TEXT("31/07/2007","dd/mm/yyyy")</f>
        <v>31/07/2007</v>
      </c>
      <c r="E155" s="16" t="s">
        <v>13</v>
      </c>
      <c r="F155" s="16" t="s">
        <v>14</v>
      </c>
      <c r="G155" s="16">
        <v>20.95</v>
      </c>
      <c r="H155" s="7" t="s">
        <v>165</v>
      </c>
      <c r="I155" s="11"/>
    </row>
    <row r="156" spans="1:9" ht="16.5" customHeight="1" x14ac:dyDescent="0.25">
      <c r="A156" s="16">
        <v>4</v>
      </c>
      <c r="B156" s="16" t="str">
        <f>TEXT("000316","000000")</f>
        <v>000316</v>
      </c>
      <c r="C156" s="16" t="s">
        <v>166</v>
      </c>
      <c r="D156" s="16" t="str">
        <f>TEXT("13/11/2007","dd/mm/yyyy")</f>
        <v>13/11/2007</v>
      </c>
      <c r="E156" s="16" t="s">
        <v>20</v>
      </c>
      <c r="F156" s="16" t="s">
        <v>14</v>
      </c>
      <c r="G156" s="16">
        <v>19</v>
      </c>
      <c r="H156" s="7" t="s">
        <v>165</v>
      </c>
      <c r="I156" s="11"/>
    </row>
    <row r="157" spans="1:9" ht="16.5" customHeight="1" x14ac:dyDescent="0.25">
      <c r="A157" s="16">
        <v>5</v>
      </c>
      <c r="B157" s="16" t="str">
        <f>TEXT("001153","000000")</f>
        <v>001153</v>
      </c>
      <c r="C157" s="16" t="s">
        <v>167</v>
      </c>
      <c r="D157" s="16" t="str">
        <f>TEXT("21/01/2007","dd/mm/yyyy")</f>
        <v>21/01/2007</v>
      </c>
      <c r="E157" s="16" t="s">
        <v>13</v>
      </c>
      <c r="F157" s="16" t="s">
        <v>14</v>
      </c>
      <c r="G157" s="16">
        <v>17.45</v>
      </c>
      <c r="H157" s="7" t="s">
        <v>165</v>
      </c>
      <c r="I157" s="11"/>
    </row>
    <row r="158" spans="1:9" ht="16.5" customHeight="1" x14ac:dyDescent="0.25">
      <c r="A158" s="16">
        <v>6</v>
      </c>
      <c r="B158" s="16" t="str">
        <f>TEXT("001274","000000")</f>
        <v>001274</v>
      </c>
      <c r="C158" s="16" t="s">
        <v>168</v>
      </c>
      <c r="D158" s="16" t="str">
        <f>TEXT("15/07/2007","dd/mm/yyyy")</f>
        <v>15/07/2007</v>
      </c>
      <c r="E158" s="16" t="s">
        <v>20</v>
      </c>
      <c r="F158" s="16" t="s">
        <v>14</v>
      </c>
      <c r="G158" s="16">
        <v>17.100000000000001</v>
      </c>
      <c r="H158" s="7" t="s">
        <v>165</v>
      </c>
      <c r="I158" s="11"/>
    </row>
    <row r="159" spans="1:9" ht="16.5" customHeight="1" x14ac:dyDescent="0.25">
      <c r="A159" s="16">
        <v>7</v>
      </c>
      <c r="B159" s="16" t="str">
        <f>TEXT("001809","000000")</f>
        <v>001809</v>
      </c>
      <c r="C159" s="16" t="s">
        <v>81</v>
      </c>
      <c r="D159" s="16" t="str">
        <f>TEXT("12/01/2007","dd/mm/yyyy")</f>
        <v>12/01/2007</v>
      </c>
      <c r="E159" s="16" t="s">
        <v>13</v>
      </c>
      <c r="F159" s="16" t="s">
        <v>14</v>
      </c>
      <c r="G159" s="16">
        <v>18.5</v>
      </c>
      <c r="H159" s="7" t="s">
        <v>165</v>
      </c>
      <c r="I159" s="11"/>
    </row>
    <row r="160" spans="1:9" ht="16.5" customHeight="1" x14ac:dyDescent="0.25">
      <c r="A160" s="16">
        <v>8</v>
      </c>
      <c r="B160" s="16" t="str">
        <f>TEXT("003154","000000")</f>
        <v>003154</v>
      </c>
      <c r="C160" s="16" t="s">
        <v>169</v>
      </c>
      <c r="D160" s="16" t="str">
        <f>TEXT("09/10/2007","dd/mm/yyyy")</f>
        <v>09/10/2007</v>
      </c>
      <c r="E160" s="16" t="s">
        <v>20</v>
      </c>
      <c r="F160" s="16" t="s">
        <v>14</v>
      </c>
      <c r="G160" s="16">
        <v>16.399999999999999</v>
      </c>
      <c r="H160" s="7" t="s">
        <v>165</v>
      </c>
      <c r="I160" s="11"/>
    </row>
    <row r="161" spans="1:9" ht="16.5" customHeight="1" x14ac:dyDescent="0.25">
      <c r="A161" s="16">
        <v>9</v>
      </c>
      <c r="B161" s="16" t="str">
        <f>TEXT("003310","000000")</f>
        <v>003310</v>
      </c>
      <c r="C161" s="16" t="s">
        <v>170</v>
      </c>
      <c r="D161" s="16" t="str">
        <f>TEXT("27/02/2007","dd/mm/yyyy")</f>
        <v>27/02/2007</v>
      </c>
      <c r="E161" s="16" t="s">
        <v>20</v>
      </c>
      <c r="F161" s="16" t="s">
        <v>14</v>
      </c>
      <c r="G161" s="16">
        <v>16.2</v>
      </c>
      <c r="H161" s="7" t="s">
        <v>165</v>
      </c>
      <c r="I161" s="11"/>
    </row>
    <row r="162" spans="1:9" ht="16.5" customHeight="1" x14ac:dyDescent="0.25">
      <c r="A162" s="16">
        <v>10</v>
      </c>
      <c r="B162" s="16" t="str">
        <f>TEXT("004395","000000")</f>
        <v>004395</v>
      </c>
      <c r="C162" s="16" t="s">
        <v>171</v>
      </c>
      <c r="D162" s="16" t="str">
        <f>TEXT("08/03/2007","dd/mm/yyyy")</f>
        <v>08/03/2007</v>
      </c>
      <c r="E162" s="16" t="s">
        <v>20</v>
      </c>
      <c r="F162" s="16" t="s">
        <v>14</v>
      </c>
      <c r="G162" s="16">
        <v>20</v>
      </c>
      <c r="H162" s="7" t="s">
        <v>165</v>
      </c>
      <c r="I162" s="11"/>
    </row>
    <row r="163" spans="1:9" ht="16.5" customHeight="1" x14ac:dyDescent="0.25">
      <c r="A163" s="16">
        <v>11</v>
      </c>
      <c r="B163" s="16" t="str">
        <f>TEXT("004908","000000")</f>
        <v>004908</v>
      </c>
      <c r="C163" s="16" t="s">
        <v>172</v>
      </c>
      <c r="D163" s="16" t="str">
        <f>TEXT("30/03/2007","dd/mm/yyyy")</f>
        <v>30/03/2007</v>
      </c>
      <c r="E163" s="16" t="s">
        <v>13</v>
      </c>
      <c r="F163" s="16" t="s">
        <v>14</v>
      </c>
      <c r="G163" s="16">
        <v>16.55</v>
      </c>
      <c r="H163" s="7" t="s">
        <v>165</v>
      </c>
      <c r="I163" s="11"/>
    </row>
    <row r="164" spans="1:9" ht="16.5" customHeight="1" x14ac:dyDescent="0.25">
      <c r="A164" s="16">
        <v>12</v>
      </c>
      <c r="B164" s="16" t="str">
        <f>TEXT("006433","000000")</f>
        <v>006433</v>
      </c>
      <c r="C164" s="16" t="s">
        <v>173</v>
      </c>
      <c r="D164" s="16" t="str">
        <f>TEXT("11/08/2007","dd/mm/yyyy")</f>
        <v>11/08/2007</v>
      </c>
      <c r="E164" s="16" t="s">
        <v>13</v>
      </c>
      <c r="F164" s="16" t="s">
        <v>14</v>
      </c>
      <c r="G164" s="16">
        <v>16.149999999999999</v>
      </c>
      <c r="H164" s="7" t="s">
        <v>165</v>
      </c>
      <c r="I164" s="11"/>
    </row>
    <row r="165" spans="1:9" ht="16.5" customHeight="1" x14ac:dyDescent="0.25">
      <c r="A165" s="16">
        <v>13</v>
      </c>
      <c r="B165" s="16" t="str">
        <f>TEXT("006483","000000")</f>
        <v>006483</v>
      </c>
      <c r="C165" s="16" t="s">
        <v>174</v>
      </c>
      <c r="D165" s="16" t="str">
        <f>TEXT("05/02/2007","dd/mm/yyyy")</f>
        <v>05/02/2007</v>
      </c>
      <c r="E165" s="16" t="s">
        <v>20</v>
      </c>
      <c r="F165" s="16" t="s">
        <v>14</v>
      </c>
      <c r="G165" s="16">
        <v>19.2</v>
      </c>
      <c r="H165" s="7" t="s">
        <v>165</v>
      </c>
      <c r="I165" s="11"/>
    </row>
    <row r="166" spans="1:9" ht="16.5" customHeight="1" x14ac:dyDescent="0.25">
      <c r="A166" s="16">
        <v>14</v>
      </c>
      <c r="B166" s="16" t="str">
        <f>TEXT("006571","000000")</f>
        <v>006571</v>
      </c>
      <c r="C166" s="16" t="s">
        <v>175</v>
      </c>
      <c r="D166" s="16" t="str">
        <f>TEXT("12/09/2007","dd/mm/yyyy")</f>
        <v>12/09/2007</v>
      </c>
      <c r="E166" s="16" t="s">
        <v>20</v>
      </c>
      <c r="F166" s="16" t="s">
        <v>14</v>
      </c>
      <c r="G166" s="16">
        <v>16.55</v>
      </c>
      <c r="H166" s="7" t="s">
        <v>165</v>
      </c>
      <c r="I166" s="11"/>
    </row>
    <row r="167" spans="1:9" ht="16.5" customHeight="1" x14ac:dyDescent="0.25">
      <c r="A167" s="16">
        <v>15</v>
      </c>
      <c r="B167" s="16" t="str">
        <f>TEXT("008188","000000")</f>
        <v>008188</v>
      </c>
      <c r="C167" s="16" t="s">
        <v>176</v>
      </c>
      <c r="D167" s="16" t="str">
        <f>TEXT("07/09/2007","dd/mm/yyyy")</f>
        <v>07/09/2007</v>
      </c>
      <c r="E167" s="16" t="s">
        <v>13</v>
      </c>
      <c r="F167" s="16" t="s">
        <v>14</v>
      </c>
      <c r="G167" s="16">
        <v>17.399999999999999</v>
      </c>
      <c r="H167" s="7" t="s">
        <v>165</v>
      </c>
      <c r="I167" s="11"/>
    </row>
    <row r="168" spans="1:9" ht="16.5" customHeight="1" x14ac:dyDescent="0.25">
      <c r="A168" s="16">
        <v>16</v>
      </c>
      <c r="B168" s="16" t="str">
        <f>TEXT("008349","000000")</f>
        <v>008349</v>
      </c>
      <c r="C168" s="16" t="s">
        <v>177</v>
      </c>
      <c r="D168" s="16" t="str">
        <f>TEXT("30/06/2007","dd/mm/yyyy")</f>
        <v>30/06/2007</v>
      </c>
      <c r="E168" s="16" t="s">
        <v>13</v>
      </c>
      <c r="F168" s="16" t="s">
        <v>14</v>
      </c>
      <c r="G168" s="16">
        <v>17.899999999999999</v>
      </c>
      <c r="H168" s="7" t="s">
        <v>165</v>
      </c>
      <c r="I168" s="11"/>
    </row>
    <row r="169" spans="1:9" ht="16.5" customHeight="1" x14ac:dyDescent="0.25">
      <c r="A169" s="16">
        <v>17</v>
      </c>
      <c r="B169" s="16" t="str">
        <f>TEXT("008950","000000")</f>
        <v>008950</v>
      </c>
      <c r="C169" s="16" t="s">
        <v>178</v>
      </c>
      <c r="D169" s="16" t="str">
        <f>TEXT("15/12/2007","dd/mm/yyyy")</f>
        <v>15/12/2007</v>
      </c>
      <c r="E169" s="16" t="s">
        <v>13</v>
      </c>
      <c r="F169" s="16" t="s">
        <v>14</v>
      </c>
      <c r="G169" s="16">
        <v>19.399999999999999</v>
      </c>
      <c r="H169" s="7" t="s">
        <v>165</v>
      </c>
      <c r="I169" s="11"/>
    </row>
    <row r="170" spans="1:9" ht="16.5" customHeight="1" x14ac:dyDescent="0.25">
      <c r="A170" s="16">
        <v>18</v>
      </c>
      <c r="B170" s="16" t="str">
        <f>TEXT("009120","000000")</f>
        <v>009120</v>
      </c>
      <c r="C170" s="16" t="s">
        <v>179</v>
      </c>
      <c r="D170" s="16" t="str">
        <f>TEXT("02/09/2007","dd/mm/yyyy")</f>
        <v>02/09/2007</v>
      </c>
      <c r="E170" s="16" t="s">
        <v>20</v>
      </c>
      <c r="F170" s="16" t="s">
        <v>14</v>
      </c>
      <c r="G170" s="16">
        <v>16.5</v>
      </c>
      <c r="H170" s="7" t="s">
        <v>165</v>
      </c>
      <c r="I170" s="11"/>
    </row>
    <row r="171" spans="1:9" ht="16.5" customHeight="1" x14ac:dyDescent="0.25">
      <c r="A171" s="16">
        <v>19</v>
      </c>
      <c r="B171" s="16" t="str">
        <f>TEXT("009671","000000")</f>
        <v>009671</v>
      </c>
      <c r="C171" s="16" t="s">
        <v>180</v>
      </c>
      <c r="D171" s="16" t="str">
        <f>TEXT("23/07/2007","dd/mm/yyyy")</f>
        <v>23/07/2007</v>
      </c>
      <c r="E171" s="16" t="s">
        <v>13</v>
      </c>
      <c r="F171" s="16" t="s">
        <v>14</v>
      </c>
      <c r="G171" s="16">
        <v>18.600000000000001</v>
      </c>
      <c r="H171" s="7" t="s">
        <v>165</v>
      </c>
      <c r="I171" s="11"/>
    </row>
    <row r="172" spans="1:9" ht="16.5" customHeight="1" x14ac:dyDescent="0.25">
      <c r="A172" s="16">
        <v>20</v>
      </c>
      <c r="B172" s="16" t="str">
        <f>TEXT("009834","000000")</f>
        <v>009834</v>
      </c>
      <c r="C172" s="16" t="s">
        <v>181</v>
      </c>
      <c r="D172" s="16" t="str">
        <f>TEXT("24/12/2007","dd/mm/yyyy")</f>
        <v>24/12/2007</v>
      </c>
      <c r="E172" s="16" t="s">
        <v>13</v>
      </c>
      <c r="F172" s="16" t="s">
        <v>14</v>
      </c>
      <c r="G172" s="16">
        <v>17.2</v>
      </c>
      <c r="H172" s="7" t="s">
        <v>165</v>
      </c>
      <c r="I172" s="11"/>
    </row>
    <row r="173" spans="1:9" ht="16.5" customHeight="1" x14ac:dyDescent="0.25">
      <c r="A173" s="16">
        <v>21</v>
      </c>
      <c r="B173" s="16" t="str">
        <f>TEXT("010281","000000")</f>
        <v>010281</v>
      </c>
      <c r="C173" s="16" t="s">
        <v>182</v>
      </c>
      <c r="D173" s="16" t="str">
        <f>TEXT("14/02/2007","dd/mm/yyyy")</f>
        <v>14/02/2007</v>
      </c>
      <c r="E173" s="16" t="s">
        <v>13</v>
      </c>
      <c r="F173" s="16" t="s">
        <v>14</v>
      </c>
      <c r="G173" s="16">
        <v>19.7</v>
      </c>
      <c r="H173" s="7" t="s">
        <v>165</v>
      </c>
      <c r="I173" s="11"/>
    </row>
    <row r="174" spans="1:9" ht="16.5" customHeight="1" x14ac:dyDescent="0.25">
      <c r="A174" s="16">
        <v>22</v>
      </c>
      <c r="B174" s="16" t="str">
        <f>TEXT("010637","000000")</f>
        <v>010637</v>
      </c>
      <c r="C174" s="16" t="s">
        <v>183</v>
      </c>
      <c r="D174" s="16" t="str">
        <f>TEXT("19/02/2007","dd/mm/yyyy")</f>
        <v>19/02/2007</v>
      </c>
      <c r="E174" s="16" t="s">
        <v>13</v>
      </c>
      <c r="F174" s="16" t="s">
        <v>14</v>
      </c>
      <c r="G174" s="16">
        <v>17.850000000000001</v>
      </c>
      <c r="H174" s="7" t="s">
        <v>165</v>
      </c>
      <c r="I174" s="11"/>
    </row>
    <row r="175" spans="1:9" ht="16.5" customHeight="1" x14ac:dyDescent="0.25">
      <c r="A175" s="16">
        <v>23</v>
      </c>
      <c r="B175" s="16" t="str">
        <f>TEXT("010989","000000")</f>
        <v>010989</v>
      </c>
      <c r="C175" s="16" t="s">
        <v>184</v>
      </c>
      <c r="D175" s="16" t="str">
        <f>TEXT("24/01/2007","dd/mm/yyyy")</f>
        <v>24/01/2007</v>
      </c>
      <c r="E175" s="16" t="s">
        <v>13</v>
      </c>
      <c r="F175" s="16" t="s">
        <v>14</v>
      </c>
      <c r="G175" s="16">
        <v>19.55</v>
      </c>
      <c r="H175" s="7" t="s">
        <v>165</v>
      </c>
      <c r="I175" s="11"/>
    </row>
    <row r="176" spans="1:9" ht="16.5" customHeight="1" x14ac:dyDescent="0.25">
      <c r="A176" s="16">
        <v>24</v>
      </c>
      <c r="B176" s="16" t="str">
        <f>TEXT("011148","000000")</f>
        <v>011148</v>
      </c>
      <c r="C176" s="16" t="s">
        <v>185</v>
      </c>
      <c r="D176" s="16" t="str">
        <f>TEXT("11/01/2007","dd/mm/yyyy")</f>
        <v>11/01/2007</v>
      </c>
      <c r="E176" s="16" t="s">
        <v>13</v>
      </c>
      <c r="F176" s="16" t="s">
        <v>14</v>
      </c>
      <c r="G176" s="16">
        <v>19.2</v>
      </c>
      <c r="H176" s="7" t="s">
        <v>165</v>
      </c>
      <c r="I176" s="11"/>
    </row>
    <row r="177" spans="1:9" ht="16.5" customHeight="1" x14ac:dyDescent="0.25">
      <c r="A177" s="16">
        <v>25</v>
      </c>
      <c r="B177" s="16" t="str">
        <f>TEXT("011674","000000")</f>
        <v>011674</v>
      </c>
      <c r="C177" s="16" t="s">
        <v>186</v>
      </c>
      <c r="D177" s="16" t="str">
        <f>TEXT("08/11/2007","dd/mm/yyyy")</f>
        <v>08/11/2007</v>
      </c>
      <c r="E177" s="16" t="s">
        <v>13</v>
      </c>
      <c r="F177" s="16" t="s">
        <v>14</v>
      </c>
      <c r="G177" s="16">
        <v>22.95</v>
      </c>
      <c r="H177" s="7" t="s">
        <v>165</v>
      </c>
      <c r="I177" s="11"/>
    </row>
    <row r="178" spans="1:9" ht="16.5" customHeight="1" x14ac:dyDescent="0.25">
      <c r="A178" s="16">
        <v>26</v>
      </c>
      <c r="B178" s="16" t="str">
        <f>TEXT("011763","000000")</f>
        <v>011763</v>
      </c>
      <c r="C178" s="16" t="s">
        <v>187</v>
      </c>
      <c r="D178" s="16" t="str">
        <f>TEXT("01/04/2007","dd/mm/yyyy")</f>
        <v>01/04/2007</v>
      </c>
      <c r="E178" s="16" t="s">
        <v>13</v>
      </c>
      <c r="F178" s="16" t="s">
        <v>14</v>
      </c>
      <c r="G178" s="16">
        <v>17.350000000000001</v>
      </c>
      <c r="H178" s="7" t="s">
        <v>165</v>
      </c>
      <c r="I178" s="11"/>
    </row>
    <row r="179" spans="1:9" ht="16.5" customHeight="1" x14ac:dyDescent="0.25">
      <c r="A179" s="16">
        <v>27</v>
      </c>
      <c r="B179" s="16" t="str">
        <f>TEXT("012020","000000")</f>
        <v>012020</v>
      </c>
      <c r="C179" s="16" t="s">
        <v>188</v>
      </c>
      <c r="D179" s="16" t="str">
        <f>TEXT("27/04/2007","dd/mm/yyyy")</f>
        <v>27/04/2007</v>
      </c>
      <c r="E179" s="16" t="s">
        <v>20</v>
      </c>
      <c r="F179" s="16" t="s">
        <v>14</v>
      </c>
      <c r="G179" s="16">
        <v>17.45</v>
      </c>
      <c r="H179" s="7" t="s">
        <v>165</v>
      </c>
      <c r="I179" s="11"/>
    </row>
    <row r="180" spans="1:9" ht="16.5" customHeight="1" x14ac:dyDescent="0.25">
      <c r="A180" s="16">
        <v>28</v>
      </c>
      <c r="B180" s="16" t="str">
        <f>TEXT("012455","000000")</f>
        <v>012455</v>
      </c>
      <c r="C180" s="16" t="s">
        <v>189</v>
      </c>
      <c r="D180" s="16" t="str">
        <f>TEXT("07/09/2007","dd/mm/yyyy")</f>
        <v>07/09/2007</v>
      </c>
      <c r="E180" s="16" t="s">
        <v>20</v>
      </c>
      <c r="F180" s="16" t="s">
        <v>14</v>
      </c>
      <c r="G180" s="16">
        <v>16.25</v>
      </c>
      <c r="H180" s="7" t="s">
        <v>165</v>
      </c>
      <c r="I180" s="11"/>
    </row>
    <row r="181" spans="1:9" ht="16.5" customHeight="1" x14ac:dyDescent="0.25">
      <c r="A181" s="16">
        <v>29</v>
      </c>
      <c r="B181" s="16" t="str">
        <f>TEXT("012721","000000")</f>
        <v>012721</v>
      </c>
      <c r="C181" s="16" t="s">
        <v>190</v>
      </c>
      <c r="D181" s="16" t="str">
        <f>TEXT("14/01/2007","dd/mm/yyyy")</f>
        <v>14/01/2007</v>
      </c>
      <c r="E181" s="16" t="s">
        <v>20</v>
      </c>
      <c r="F181" s="16" t="s">
        <v>14</v>
      </c>
      <c r="G181" s="16">
        <v>18.649999999999999</v>
      </c>
      <c r="H181" s="7" t="s">
        <v>165</v>
      </c>
      <c r="I181" s="11"/>
    </row>
    <row r="182" spans="1:9" ht="16.5" customHeight="1" x14ac:dyDescent="0.25">
      <c r="A182" s="16">
        <v>30</v>
      </c>
      <c r="B182" s="16" t="str">
        <f>TEXT("015269","000000")</f>
        <v>015269</v>
      </c>
      <c r="C182" s="16" t="s">
        <v>191</v>
      </c>
      <c r="D182" s="16" t="str">
        <f>TEXT("19/10/2007","dd/mm/yyyy")</f>
        <v>19/10/2007</v>
      </c>
      <c r="E182" s="16" t="s">
        <v>13</v>
      </c>
      <c r="F182" s="16" t="s">
        <v>14</v>
      </c>
      <c r="G182" s="16">
        <v>21.9</v>
      </c>
      <c r="H182" s="7" t="s">
        <v>165</v>
      </c>
      <c r="I182" s="11"/>
    </row>
    <row r="183" spans="1:9" ht="16.5" customHeight="1" x14ac:dyDescent="0.25">
      <c r="A183" s="16">
        <v>31</v>
      </c>
      <c r="B183" s="16" t="str">
        <f>TEXT("015385","000000")</f>
        <v>015385</v>
      </c>
      <c r="C183" s="16" t="s">
        <v>192</v>
      </c>
      <c r="D183" s="16" t="str">
        <f>TEXT("27/11/2007","dd/mm/yyyy")</f>
        <v>27/11/2007</v>
      </c>
      <c r="E183" s="16" t="s">
        <v>13</v>
      </c>
      <c r="F183" s="16" t="s">
        <v>14</v>
      </c>
      <c r="G183" s="16">
        <v>22.85</v>
      </c>
      <c r="H183" s="7" t="s">
        <v>165</v>
      </c>
      <c r="I183" s="11"/>
    </row>
    <row r="184" spans="1:9" ht="16.5" customHeight="1" x14ac:dyDescent="0.25">
      <c r="A184" s="16">
        <v>32</v>
      </c>
      <c r="B184" s="16" t="str">
        <f>TEXT("015421","000000")</f>
        <v>015421</v>
      </c>
      <c r="C184" s="16" t="s">
        <v>193</v>
      </c>
      <c r="D184" s="16" t="str">
        <f>TEXT("03/02/2007","dd/mm/yyyy")</f>
        <v>03/02/2007</v>
      </c>
      <c r="E184" s="16" t="s">
        <v>13</v>
      </c>
      <c r="F184" s="16" t="s">
        <v>14</v>
      </c>
      <c r="G184" s="16">
        <v>18.55</v>
      </c>
      <c r="H184" s="7" t="s">
        <v>165</v>
      </c>
      <c r="I184" s="11"/>
    </row>
    <row r="185" spans="1:9" ht="16.5" customHeight="1" x14ac:dyDescent="0.25">
      <c r="A185" s="16">
        <v>33</v>
      </c>
      <c r="B185" s="16" t="str">
        <f>TEXT("015894","000000")</f>
        <v>015894</v>
      </c>
      <c r="C185" s="16" t="s">
        <v>194</v>
      </c>
      <c r="D185" s="16" t="str">
        <f>TEXT("17/12/2007","dd/mm/yyyy")</f>
        <v>17/12/2007</v>
      </c>
      <c r="E185" s="16" t="s">
        <v>20</v>
      </c>
      <c r="F185" s="16" t="s">
        <v>14</v>
      </c>
      <c r="G185" s="16">
        <v>22.15</v>
      </c>
      <c r="H185" s="7" t="s">
        <v>165</v>
      </c>
      <c r="I185" s="11"/>
    </row>
    <row r="186" spans="1:9" ht="16.5" customHeight="1" x14ac:dyDescent="0.25">
      <c r="A186" s="16">
        <v>34</v>
      </c>
      <c r="B186" s="16" t="str">
        <f>TEXT("016960","000000")</f>
        <v>016960</v>
      </c>
      <c r="C186" s="16" t="s">
        <v>195</v>
      </c>
      <c r="D186" s="16" t="str">
        <f>TEXT("04/09/2007","dd/mm/yyyy")</f>
        <v>04/09/2007</v>
      </c>
      <c r="E186" s="16" t="s">
        <v>13</v>
      </c>
      <c r="F186" s="16" t="s">
        <v>14</v>
      </c>
      <c r="G186" s="16">
        <v>23.7</v>
      </c>
      <c r="H186" s="7" t="s">
        <v>165</v>
      </c>
      <c r="I186" s="11"/>
    </row>
    <row r="187" spans="1:9" ht="16.5" customHeight="1" x14ac:dyDescent="0.25">
      <c r="A187" s="16">
        <v>35</v>
      </c>
      <c r="B187" s="16" t="str">
        <f>TEXT("016999","000000")</f>
        <v>016999</v>
      </c>
      <c r="C187" s="16" t="s">
        <v>196</v>
      </c>
      <c r="D187" s="16" t="str">
        <f>TEXT("28/11/2007","dd/mm/yyyy")</f>
        <v>28/11/2007</v>
      </c>
      <c r="E187" s="16" t="s">
        <v>13</v>
      </c>
      <c r="F187" s="16" t="s">
        <v>14</v>
      </c>
      <c r="G187" s="16">
        <v>16.75</v>
      </c>
      <c r="H187" s="7" t="s">
        <v>165</v>
      </c>
      <c r="I187" s="11"/>
    </row>
    <row r="188" spans="1:9" ht="16.5" customHeight="1" x14ac:dyDescent="0.25">
      <c r="A188" s="16">
        <v>36</v>
      </c>
      <c r="B188" s="16" t="str">
        <f>TEXT("017085","000000")</f>
        <v>017085</v>
      </c>
      <c r="C188" s="16" t="s">
        <v>197</v>
      </c>
      <c r="D188" s="16" t="str">
        <f>TEXT("19/01/2007","dd/mm/yyyy")</f>
        <v>19/01/2007</v>
      </c>
      <c r="E188" s="16" t="s">
        <v>13</v>
      </c>
      <c r="F188" s="16" t="s">
        <v>14</v>
      </c>
      <c r="G188" s="16">
        <v>23.55</v>
      </c>
      <c r="H188" s="7" t="s">
        <v>165</v>
      </c>
      <c r="I188" s="11"/>
    </row>
    <row r="189" spans="1:9" ht="16.5" customHeight="1" x14ac:dyDescent="0.25">
      <c r="A189" s="16">
        <v>37</v>
      </c>
      <c r="B189" s="16" t="str">
        <f>TEXT("000033","000000")</f>
        <v>000033</v>
      </c>
      <c r="C189" s="16" t="s">
        <v>311</v>
      </c>
      <c r="D189" s="16" t="str">
        <f>TEXT("25/12/2007","dd/mm/yyyy")</f>
        <v>25/12/2007</v>
      </c>
      <c r="E189" s="16" t="s">
        <v>20</v>
      </c>
      <c r="F189" s="16" t="s">
        <v>14</v>
      </c>
      <c r="G189" s="16">
        <v>17</v>
      </c>
      <c r="H189" s="7" t="s">
        <v>312</v>
      </c>
      <c r="I189" s="11"/>
    </row>
    <row r="190" spans="1:9" ht="16.5" customHeight="1" x14ac:dyDescent="0.25">
      <c r="A190" s="16">
        <v>38</v>
      </c>
      <c r="B190" s="16" t="str">
        <f>TEXT("001954","000000")</f>
        <v>001954</v>
      </c>
      <c r="C190" s="16" t="s">
        <v>313</v>
      </c>
      <c r="D190" s="16" t="str">
        <f>TEXT("19/04/2007","dd/mm/yyyy")</f>
        <v>19/04/2007</v>
      </c>
      <c r="E190" s="16" t="s">
        <v>20</v>
      </c>
      <c r="F190" s="16" t="s">
        <v>14</v>
      </c>
      <c r="G190" s="16">
        <v>16.3</v>
      </c>
      <c r="H190" s="7" t="s">
        <v>312</v>
      </c>
      <c r="I190" s="11"/>
    </row>
    <row r="191" spans="1:9" ht="16.5" customHeight="1" x14ac:dyDescent="0.25">
      <c r="A191" s="16">
        <v>39</v>
      </c>
      <c r="B191" s="16" t="str">
        <f>TEXT("002419","000000")</f>
        <v>002419</v>
      </c>
      <c r="C191" s="16" t="s">
        <v>314</v>
      </c>
      <c r="D191" s="16" t="str">
        <f>TEXT("12/02/2007","dd/mm/yyyy")</f>
        <v>12/02/2007</v>
      </c>
      <c r="E191" s="16" t="s">
        <v>13</v>
      </c>
      <c r="F191" s="16" t="s">
        <v>14</v>
      </c>
      <c r="G191" s="16">
        <v>24.45</v>
      </c>
      <c r="H191" s="7" t="s">
        <v>312</v>
      </c>
      <c r="I191" s="11"/>
    </row>
    <row r="192" spans="1:9" ht="16.5" customHeight="1" x14ac:dyDescent="0.25">
      <c r="A192" s="16">
        <v>40</v>
      </c>
      <c r="B192" s="16" t="str">
        <f>TEXT("003711","000000")</f>
        <v>003711</v>
      </c>
      <c r="C192" s="16" t="s">
        <v>315</v>
      </c>
      <c r="D192" s="16" t="str">
        <f>TEXT("21/02/2007","dd/mm/yyyy")</f>
        <v>21/02/2007</v>
      </c>
      <c r="E192" s="16" t="s">
        <v>20</v>
      </c>
      <c r="F192" s="16" t="s">
        <v>14</v>
      </c>
      <c r="G192" s="16">
        <v>20.6</v>
      </c>
      <c r="H192" s="7" t="s">
        <v>312</v>
      </c>
      <c r="I192" s="11"/>
    </row>
    <row r="193" spans="1:9" ht="16.5" customHeight="1" x14ac:dyDescent="0.25">
      <c r="A193" s="16">
        <v>41</v>
      </c>
      <c r="B193" s="16" t="str">
        <f>TEXT("004544","000000")</f>
        <v>004544</v>
      </c>
      <c r="C193" s="16" t="s">
        <v>316</v>
      </c>
      <c r="D193" s="16" t="str">
        <f>TEXT("15/11/2007","dd/mm/yyyy")</f>
        <v>15/11/2007</v>
      </c>
      <c r="E193" s="16" t="s">
        <v>20</v>
      </c>
      <c r="F193" s="16" t="s">
        <v>14</v>
      </c>
      <c r="G193" s="16">
        <v>16.600000000000001</v>
      </c>
      <c r="H193" s="7" t="s">
        <v>312</v>
      </c>
      <c r="I193" s="11"/>
    </row>
    <row r="194" spans="1:9" ht="16.5" customHeight="1" x14ac:dyDescent="0.25">
      <c r="A194" s="16">
        <v>42</v>
      </c>
      <c r="B194" s="16" t="str">
        <f>TEXT("007287","000000")</f>
        <v>007287</v>
      </c>
      <c r="C194" s="16" t="s">
        <v>317</v>
      </c>
      <c r="D194" s="16" t="str">
        <f>TEXT("04/12/2007","dd/mm/yyyy")</f>
        <v>04/12/2007</v>
      </c>
      <c r="E194" s="16" t="s">
        <v>13</v>
      </c>
      <c r="F194" s="16" t="s">
        <v>14</v>
      </c>
      <c r="G194" s="16">
        <v>18.75</v>
      </c>
      <c r="H194" s="7" t="s">
        <v>312</v>
      </c>
      <c r="I194" s="11"/>
    </row>
    <row r="195" spans="1:9" ht="16.5" customHeight="1" x14ac:dyDescent="0.25">
      <c r="A195" s="16">
        <v>43</v>
      </c>
      <c r="B195" s="16" t="str">
        <f>TEXT("007943","000000")</f>
        <v>007943</v>
      </c>
      <c r="C195" s="16" t="s">
        <v>318</v>
      </c>
      <c r="D195" s="16" t="str">
        <f>TEXT("07/11/2007","dd/mm/yyyy")</f>
        <v>07/11/2007</v>
      </c>
      <c r="E195" s="16" t="s">
        <v>20</v>
      </c>
      <c r="F195" s="16" t="s">
        <v>14</v>
      </c>
      <c r="G195" s="16">
        <v>21.35</v>
      </c>
      <c r="H195" s="7" t="s">
        <v>312</v>
      </c>
      <c r="I195" s="11"/>
    </row>
    <row r="196" spans="1:9" ht="16.5" customHeight="1" x14ac:dyDescent="0.25">
      <c r="A196" s="16">
        <v>44</v>
      </c>
      <c r="B196" s="16" t="str">
        <f>TEXT("010165","000000")</f>
        <v>010165</v>
      </c>
      <c r="C196" s="16" t="s">
        <v>319</v>
      </c>
      <c r="D196" s="16" t="str">
        <f>TEXT("26/03/2007","dd/mm/yyyy")</f>
        <v>26/03/2007</v>
      </c>
      <c r="E196" s="16" t="s">
        <v>20</v>
      </c>
      <c r="F196" s="16" t="s">
        <v>14</v>
      </c>
      <c r="G196" s="16">
        <v>16.149999999999999</v>
      </c>
      <c r="H196" s="7" t="s">
        <v>312</v>
      </c>
      <c r="I196" s="11"/>
    </row>
    <row r="197" spans="1:9" ht="15" x14ac:dyDescent="0.25">
      <c r="A197" s="17" t="s">
        <v>0</v>
      </c>
      <c r="B197" s="17"/>
      <c r="C197" s="17"/>
      <c r="D197" s="17"/>
      <c r="E197" s="17"/>
      <c r="F197" s="17"/>
      <c r="G197" s="12"/>
      <c r="H197" s="12"/>
      <c r="I197" s="1"/>
    </row>
    <row r="198" spans="1:9" ht="15" x14ac:dyDescent="0.25">
      <c r="A198" s="17" t="s">
        <v>1</v>
      </c>
      <c r="B198" s="17"/>
      <c r="C198" s="17"/>
      <c r="D198" s="17"/>
      <c r="E198" s="17"/>
      <c r="F198" s="17"/>
      <c r="G198" s="17"/>
      <c r="H198" s="17"/>
      <c r="I198" s="1"/>
    </row>
    <row r="199" spans="1:9" ht="15" x14ac:dyDescent="0.25">
      <c r="A199" s="17" t="s">
        <v>2</v>
      </c>
      <c r="B199" s="17"/>
      <c r="C199" s="17"/>
      <c r="D199" s="17"/>
      <c r="E199" s="17"/>
      <c r="F199" s="17"/>
      <c r="G199" s="12"/>
      <c r="H199" s="12"/>
      <c r="I199" s="1"/>
    </row>
    <row r="200" spans="1:9" x14ac:dyDescent="0.2">
      <c r="A200" s="18" t="s">
        <v>382</v>
      </c>
      <c r="B200" s="19"/>
      <c r="C200" s="19"/>
      <c r="D200" s="19"/>
      <c r="E200" s="19"/>
      <c r="F200" s="19"/>
      <c r="G200" s="19"/>
      <c r="H200" s="19"/>
      <c r="I200" s="19"/>
    </row>
    <row r="201" spans="1:9" ht="40.5" customHeight="1" x14ac:dyDescent="0.2">
      <c r="A201" s="2" t="s">
        <v>3</v>
      </c>
      <c r="B201" s="2" t="s">
        <v>4</v>
      </c>
      <c r="C201" s="2" t="s">
        <v>5</v>
      </c>
      <c r="D201" s="2" t="s">
        <v>6</v>
      </c>
      <c r="E201" s="2" t="s">
        <v>7</v>
      </c>
      <c r="F201" s="2" t="s">
        <v>8</v>
      </c>
      <c r="G201" s="2" t="s">
        <v>9</v>
      </c>
      <c r="H201" s="14" t="s">
        <v>11</v>
      </c>
      <c r="I201" s="15" t="s">
        <v>10</v>
      </c>
    </row>
    <row r="202" spans="1:9" ht="16.5" customHeight="1" x14ac:dyDescent="0.25">
      <c r="A202" s="16">
        <v>1</v>
      </c>
      <c r="B202" s="16" t="str">
        <f>TEXT("010523","000000")</f>
        <v>010523</v>
      </c>
      <c r="C202" s="16" t="s">
        <v>320</v>
      </c>
      <c r="D202" s="16" t="str">
        <f>TEXT("09/04/2007","dd/mm/yyyy")</f>
        <v>09/04/2007</v>
      </c>
      <c r="E202" s="16" t="s">
        <v>20</v>
      </c>
      <c r="F202" s="16" t="s">
        <v>14</v>
      </c>
      <c r="G202" s="16">
        <v>16.649999999999999</v>
      </c>
      <c r="H202" s="7" t="s">
        <v>312</v>
      </c>
      <c r="I202" s="11"/>
    </row>
    <row r="203" spans="1:9" ht="16.5" customHeight="1" x14ac:dyDescent="0.25">
      <c r="A203" s="16">
        <v>2</v>
      </c>
      <c r="B203" s="16" t="str">
        <f>TEXT("010843","000000")</f>
        <v>010843</v>
      </c>
      <c r="C203" s="16" t="s">
        <v>321</v>
      </c>
      <c r="D203" s="16" t="str">
        <f>TEXT("28/09/2007","dd/mm/yyyy")</f>
        <v>28/09/2007</v>
      </c>
      <c r="E203" s="16" t="s">
        <v>20</v>
      </c>
      <c r="F203" s="16" t="s">
        <v>14</v>
      </c>
      <c r="G203" s="16">
        <v>19</v>
      </c>
      <c r="H203" s="7" t="s">
        <v>312</v>
      </c>
      <c r="I203" s="11"/>
    </row>
    <row r="204" spans="1:9" ht="16.5" customHeight="1" x14ac:dyDescent="0.25">
      <c r="A204" s="16">
        <v>3</v>
      </c>
      <c r="B204" s="16" t="str">
        <f>TEXT("012062","000000")</f>
        <v>012062</v>
      </c>
      <c r="C204" s="16" t="s">
        <v>322</v>
      </c>
      <c r="D204" s="16" t="str">
        <f>TEXT("18/04/2007","dd/mm/yyyy")</f>
        <v>18/04/2007</v>
      </c>
      <c r="E204" s="16" t="s">
        <v>20</v>
      </c>
      <c r="F204" s="16" t="s">
        <v>14</v>
      </c>
      <c r="G204" s="16">
        <v>16.7</v>
      </c>
      <c r="H204" s="7" t="s">
        <v>312</v>
      </c>
      <c r="I204" s="11"/>
    </row>
    <row r="205" spans="1:9" ht="16.5" customHeight="1" x14ac:dyDescent="0.25">
      <c r="A205" s="16">
        <v>4</v>
      </c>
      <c r="B205" s="16" t="str">
        <f>TEXT("012836","000000")</f>
        <v>012836</v>
      </c>
      <c r="C205" s="16" t="s">
        <v>323</v>
      </c>
      <c r="D205" s="16" t="str">
        <f>TEXT("18/10/2007","dd/mm/yyyy")</f>
        <v>18/10/2007</v>
      </c>
      <c r="E205" s="16" t="s">
        <v>13</v>
      </c>
      <c r="F205" s="16" t="s">
        <v>14</v>
      </c>
      <c r="G205" s="16">
        <v>16.45</v>
      </c>
      <c r="H205" s="7" t="s">
        <v>312</v>
      </c>
      <c r="I205" s="11"/>
    </row>
    <row r="206" spans="1:9" ht="16.5" customHeight="1" x14ac:dyDescent="0.25">
      <c r="A206" s="16">
        <v>5</v>
      </c>
      <c r="B206" s="16" t="str">
        <f>TEXT("012915","000000")</f>
        <v>012915</v>
      </c>
      <c r="C206" s="16" t="s">
        <v>324</v>
      </c>
      <c r="D206" s="16" t="str">
        <f>TEXT("28/07/2007","dd/mm/yyyy")</f>
        <v>28/07/2007</v>
      </c>
      <c r="E206" s="16" t="s">
        <v>13</v>
      </c>
      <c r="F206" s="16" t="s">
        <v>14</v>
      </c>
      <c r="G206" s="16">
        <v>22.45</v>
      </c>
      <c r="H206" s="7" t="s">
        <v>312</v>
      </c>
      <c r="I206" s="11"/>
    </row>
    <row r="207" spans="1:9" ht="16.5" customHeight="1" x14ac:dyDescent="0.25">
      <c r="A207" s="16">
        <v>6</v>
      </c>
      <c r="B207" s="16" t="str">
        <f>TEXT("013695","000000")</f>
        <v>013695</v>
      </c>
      <c r="C207" s="16" t="s">
        <v>325</v>
      </c>
      <c r="D207" s="16" t="str">
        <f>TEXT("16/11/2007","dd/mm/yyyy")</f>
        <v>16/11/2007</v>
      </c>
      <c r="E207" s="16" t="s">
        <v>13</v>
      </c>
      <c r="F207" s="16" t="s">
        <v>14</v>
      </c>
      <c r="G207" s="16">
        <v>24.2</v>
      </c>
      <c r="H207" s="7" t="s">
        <v>312</v>
      </c>
      <c r="I207" s="11"/>
    </row>
    <row r="208" spans="1:9" ht="16.5" customHeight="1" x14ac:dyDescent="0.25">
      <c r="A208" s="16">
        <v>7</v>
      </c>
      <c r="B208" s="16" t="str">
        <f>TEXT("013752","000000")</f>
        <v>013752</v>
      </c>
      <c r="C208" s="16" t="s">
        <v>326</v>
      </c>
      <c r="D208" s="16" t="str">
        <f>TEXT("30/07/2007","dd/mm/yyyy")</f>
        <v>30/07/2007</v>
      </c>
      <c r="E208" s="16" t="s">
        <v>13</v>
      </c>
      <c r="F208" s="16" t="s">
        <v>14</v>
      </c>
      <c r="G208" s="16">
        <v>18</v>
      </c>
      <c r="H208" s="7" t="s">
        <v>312</v>
      </c>
      <c r="I208" s="11"/>
    </row>
    <row r="209" spans="1:9" ht="16.5" customHeight="1" x14ac:dyDescent="0.25">
      <c r="A209" s="16">
        <v>8</v>
      </c>
      <c r="B209" s="16" t="str">
        <f>TEXT("014206","000000")</f>
        <v>014206</v>
      </c>
      <c r="C209" s="16" t="s">
        <v>238</v>
      </c>
      <c r="D209" s="16" t="str">
        <f>TEXT("19/11/2007","dd/mm/yyyy")</f>
        <v>19/11/2007</v>
      </c>
      <c r="E209" s="16" t="s">
        <v>13</v>
      </c>
      <c r="F209" s="16" t="s">
        <v>14</v>
      </c>
      <c r="G209" s="16">
        <v>20.5</v>
      </c>
      <c r="H209" s="7" t="s">
        <v>312</v>
      </c>
      <c r="I209" s="11"/>
    </row>
    <row r="210" spans="1:9" ht="16.5" customHeight="1" x14ac:dyDescent="0.25">
      <c r="A210" s="16">
        <v>9</v>
      </c>
      <c r="B210" s="16" t="str">
        <f>TEXT("016248","000000")</f>
        <v>016248</v>
      </c>
      <c r="C210" s="16" t="s">
        <v>327</v>
      </c>
      <c r="D210" s="16" t="str">
        <f>TEXT("29/09/2007","dd/mm/yyyy")</f>
        <v>29/09/2007</v>
      </c>
      <c r="E210" s="16" t="s">
        <v>20</v>
      </c>
      <c r="F210" s="16" t="s">
        <v>14</v>
      </c>
      <c r="G210" s="16">
        <v>16.8</v>
      </c>
      <c r="H210" s="7" t="s">
        <v>312</v>
      </c>
      <c r="I210" s="11"/>
    </row>
    <row r="211" spans="1:9" ht="16.5" customHeight="1" x14ac:dyDescent="0.25">
      <c r="A211" s="16">
        <v>10</v>
      </c>
      <c r="B211" s="16" t="str">
        <f>TEXT("016409","000000")</f>
        <v>016409</v>
      </c>
      <c r="C211" s="16" t="s">
        <v>328</v>
      </c>
      <c r="D211" s="16" t="str">
        <f>TEXT("02/03/2007","dd/mm/yyyy")</f>
        <v>02/03/2007</v>
      </c>
      <c r="E211" s="16" t="s">
        <v>13</v>
      </c>
      <c r="F211" s="16" t="s">
        <v>14</v>
      </c>
      <c r="G211" s="16">
        <v>16.600000000000001</v>
      </c>
      <c r="H211" s="7" t="s">
        <v>312</v>
      </c>
      <c r="I211" s="11"/>
    </row>
    <row r="212" spans="1:9" ht="16.5" customHeight="1" x14ac:dyDescent="0.25">
      <c r="A212" s="16">
        <v>11</v>
      </c>
      <c r="B212" s="16" t="str">
        <f>TEXT("000190","000000")</f>
        <v>000190</v>
      </c>
      <c r="C212" s="16" t="s">
        <v>198</v>
      </c>
      <c r="D212" s="16" t="str">
        <f>TEXT("1/12/2007","dd/mm/yyyy")</f>
        <v>01/12/2007</v>
      </c>
      <c r="E212" s="16" t="s">
        <v>13</v>
      </c>
      <c r="F212" s="16" t="s">
        <v>14</v>
      </c>
      <c r="G212" s="16">
        <v>19.649999999999999</v>
      </c>
      <c r="H212" s="7" t="s">
        <v>199</v>
      </c>
      <c r="I212" s="11"/>
    </row>
    <row r="213" spans="1:9" ht="16.5" customHeight="1" x14ac:dyDescent="0.25">
      <c r="A213" s="16">
        <v>12</v>
      </c>
      <c r="B213" s="16" t="str">
        <f>TEXT("000610","000000")</f>
        <v>000610</v>
      </c>
      <c r="C213" s="16" t="s">
        <v>200</v>
      </c>
      <c r="D213" s="16" t="str">
        <f>TEXT("15/3/2007","dd/mm/yyyy")</f>
        <v>15/03/2007</v>
      </c>
      <c r="E213" s="16" t="s">
        <v>13</v>
      </c>
      <c r="F213" s="16" t="s">
        <v>14</v>
      </c>
      <c r="G213" s="16">
        <v>22.75</v>
      </c>
      <c r="H213" s="7" t="s">
        <v>199</v>
      </c>
      <c r="I213" s="11"/>
    </row>
    <row r="214" spans="1:9" ht="16.5" customHeight="1" x14ac:dyDescent="0.25">
      <c r="A214" s="16">
        <v>13</v>
      </c>
      <c r="B214" s="16" t="str">
        <f>TEXT("001152","000000")</f>
        <v>001152</v>
      </c>
      <c r="C214" s="16" t="s">
        <v>167</v>
      </c>
      <c r="D214" s="16" t="str">
        <f>TEXT("31/7/2007","dd/mm/yyyy")</f>
        <v>31/07/2007</v>
      </c>
      <c r="E214" s="16" t="s">
        <v>13</v>
      </c>
      <c r="F214" s="16" t="s">
        <v>14</v>
      </c>
      <c r="G214" s="16">
        <v>22.7</v>
      </c>
      <c r="H214" s="7" t="s">
        <v>199</v>
      </c>
      <c r="I214" s="11"/>
    </row>
    <row r="215" spans="1:9" ht="16.5" customHeight="1" x14ac:dyDescent="0.25">
      <c r="A215" s="16">
        <v>14</v>
      </c>
      <c r="B215" s="16" t="str">
        <f>TEXT("001763","000000")</f>
        <v>001763</v>
      </c>
      <c r="C215" s="16" t="s">
        <v>201</v>
      </c>
      <c r="D215" s="16" t="str">
        <f>TEXT("29/11/2007","dd/mm/yyyy")</f>
        <v>29/11/2007</v>
      </c>
      <c r="E215" s="16" t="s">
        <v>13</v>
      </c>
      <c r="F215" s="16" t="s">
        <v>14</v>
      </c>
      <c r="G215" s="16">
        <v>23.45</v>
      </c>
      <c r="H215" s="7" t="s">
        <v>199</v>
      </c>
      <c r="I215" s="11"/>
    </row>
    <row r="216" spans="1:9" ht="16.5" customHeight="1" x14ac:dyDescent="0.25">
      <c r="A216" s="16">
        <v>15</v>
      </c>
      <c r="B216" s="16" t="str">
        <f>TEXT("001807","000000")</f>
        <v>001807</v>
      </c>
      <c r="C216" s="16" t="s">
        <v>81</v>
      </c>
      <c r="D216" s="16" t="str">
        <f>TEXT("24/10/2007","dd/mm/yyyy")</f>
        <v>24/10/2007</v>
      </c>
      <c r="E216" s="16" t="s">
        <v>13</v>
      </c>
      <c r="F216" s="16" t="s">
        <v>14</v>
      </c>
      <c r="G216" s="16">
        <v>18.899999999999999</v>
      </c>
      <c r="H216" s="7" t="s">
        <v>199</v>
      </c>
      <c r="I216" s="11"/>
    </row>
    <row r="217" spans="1:9" ht="16.5" customHeight="1" x14ac:dyDescent="0.25">
      <c r="A217" s="16">
        <v>16</v>
      </c>
      <c r="B217" s="16" t="str">
        <f>TEXT("002005","000000")</f>
        <v>002005</v>
      </c>
      <c r="C217" s="16" t="s">
        <v>202</v>
      </c>
      <c r="D217" s="16" t="str">
        <f>TEXT("22/12/2007","dd/mm/yyyy")</f>
        <v>22/12/2007</v>
      </c>
      <c r="E217" s="16" t="s">
        <v>20</v>
      </c>
      <c r="F217" s="16" t="s">
        <v>203</v>
      </c>
      <c r="G217" s="16">
        <v>17.5</v>
      </c>
      <c r="H217" s="7" t="s">
        <v>199</v>
      </c>
      <c r="I217" s="11"/>
    </row>
    <row r="218" spans="1:9" ht="16.5" customHeight="1" x14ac:dyDescent="0.25">
      <c r="A218" s="16">
        <v>17</v>
      </c>
      <c r="B218" s="16" t="str">
        <f>TEXT("002458","000000")</f>
        <v>002458</v>
      </c>
      <c r="C218" s="16" t="s">
        <v>204</v>
      </c>
      <c r="D218" s="16" t="str">
        <f>TEXT("02/9/2007","dd/mm/yyyy")</f>
        <v>02/09/2007</v>
      </c>
      <c r="E218" s="16" t="s">
        <v>13</v>
      </c>
      <c r="F218" s="16" t="s">
        <v>14</v>
      </c>
      <c r="G218" s="16">
        <v>22.05</v>
      </c>
      <c r="H218" s="7" t="s">
        <v>199</v>
      </c>
      <c r="I218" s="11"/>
    </row>
    <row r="219" spans="1:9" ht="16.5" customHeight="1" x14ac:dyDescent="0.25">
      <c r="A219" s="16">
        <v>18</v>
      </c>
      <c r="B219" s="16" t="str">
        <f>TEXT("002571","000000")</f>
        <v>002571</v>
      </c>
      <c r="C219" s="16" t="s">
        <v>205</v>
      </c>
      <c r="D219" s="16" t="str">
        <f>TEXT("13/2/2007","dd/mm/yyyy")</f>
        <v>13/02/2007</v>
      </c>
      <c r="E219" s="16" t="s">
        <v>20</v>
      </c>
      <c r="F219" s="16" t="s">
        <v>14</v>
      </c>
      <c r="G219" s="16">
        <v>16.95</v>
      </c>
      <c r="H219" s="7" t="s">
        <v>199</v>
      </c>
      <c r="I219" s="11"/>
    </row>
    <row r="220" spans="1:9" ht="16.5" customHeight="1" x14ac:dyDescent="0.25">
      <c r="A220" s="16">
        <v>19</v>
      </c>
      <c r="B220" s="16" t="str">
        <f>TEXT("002589","000000")</f>
        <v>002589</v>
      </c>
      <c r="C220" s="16" t="s">
        <v>206</v>
      </c>
      <c r="D220" s="16" t="str">
        <f>TEXT("21/9/2007","dd/mm/yyyy")</f>
        <v>21/09/2007</v>
      </c>
      <c r="E220" s="16" t="s">
        <v>13</v>
      </c>
      <c r="F220" s="16" t="s">
        <v>14</v>
      </c>
      <c r="G220" s="16">
        <v>18.600000000000001</v>
      </c>
      <c r="H220" s="7" t="s">
        <v>199</v>
      </c>
      <c r="I220" s="11"/>
    </row>
    <row r="221" spans="1:9" ht="16.5" customHeight="1" x14ac:dyDescent="0.25">
      <c r="A221" s="16">
        <v>20</v>
      </c>
      <c r="B221" s="16" t="str">
        <f>TEXT("002668","000000")</f>
        <v>002668</v>
      </c>
      <c r="C221" s="16" t="s">
        <v>207</v>
      </c>
      <c r="D221" s="16" t="str">
        <f>TEXT("13/7/2007","dd/mm/yyyy")</f>
        <v>13/07/2007</v>
      </c>
      <c r="E221" s="16" t="s">
        <v>20</v>
      </c>
      <c r="F221" s="16" t="s">
        <v>14</v>
      </c>
      <c r="G221" s="16">
        <v>16.649999999999999</v>
      </c>
      <c r="H221" s="7" t="s">
        <v>199</v>
      </c>
      <c r="I221" s="11"/>
    </row>
    <row r="222" spans="1:9" ht="16.5" customHeight="1" x14ac:dyDescent="0.25">
      <c r="A222" s="16">
        <v>21</v>
      </c>
      <c r="B222" s="16" t="str">
        <f>TEXT("002782","000000")</f>
        <v>002782</v>
      </c>
      <c r="C222" s="16" t="s">
        <v>208</v>
      </c>
      <c r="D222" s="16" t="str">
        <f>TEXT("22/8/2007","dd/mm/yyyy")</f>
        <v>22/08/2007</v>
      </c>
      <c r="E222" s="16" t="s">
        <v>20</v>
      </c>
      <c r="F222" s="16" t="s">
        <v>14</v>
      </c>
      <c r="G222" s="16">
        <v>17.399999999999999</v>
      </c>
      <c r="H222" s="7" t="s">
        <v>199</v>
      </c>
      <c r="I222" s="11"/>
    </row>
    <row r="223" spans="1:9" ht="16.5" customHeight="1" x14ac:dyDescent="0.25">
      <c r="A223" s="16">
        <v>22</v>
      </c>
      <c r="B223" s="16" t="str">
        <f>TEXT("002902","000000")</f>
        <v>002902</v>
      </c>
      <c r="C223" s="16" t="s">
        <v>209</v>
      </c>
      <c r="D223" s="16" t="str">
        <f>TEXT("25/10/2007","dd/mm/yyyy")</f>
        <v>25/10/2007</v>
      </c>
      <c r="E223" s="16" t="s">
        <v>13</v>
      </c>
      <c r="F223" s="16" t="s">
        <v>14</v>
      </c>
      <c r="G223" s="16">
        <v>17.100000000000001</v>
      </c>
      <c r="H223" s="7" t="s">
        <v>199</v>
      </c>
      <c r="I223" s="11"/>
    </row>
    <row r="224" spans="1:9" ht="16.5" customHeight="1" x14ac:dyDescent="0.25">
      <c r="A224" s="16">
        <v>23</v>
      </c>
      <c r="B224" s="16" t="str">
        <f>TEXT("003641","000000")</f>
        <v>003641</v>
      </c>
      <c r="C224" s="16" t="s">
        <v>210</v>
      </c>
      <c r="D224" s="16" t="str">
        <f>TEXT("28/7/2007","dd/mm/yyyy")</f>
        <v>28/07/2007</v>
      </c>
      <c r="E224" s="16" t="s">
        <v>20</v>
      </c>
      <c r="F224" s="16" t="s">
        <v>14</v>
      </c>
      <c r="G224" s="16">
        <v>18.649999999999999</v>
      </c>
      <c r="H224" s="7" t="s">
        <v>199</v>
      </c>
      <c r="I224" s="11"/>
    </row>
    <row r="225" spans="1:9" ht="16.5" customHeight="1" x14ac:dyDescent="0.25">
      <c r="A225" s="16">
        <v>24</v>
      </c>
      <c r="B225" s="16" t="str">
        <f>TEXT("003893","000000")</f>
        <v>003893</v>
      </c>
      <c r="C225" s="16" t="s">
        <v>211</v>
      </c>
      <c r="D225" s="16" t="str">
        <f>TEXT("5/12/2007","dd/mm/yyyy")</f>
        <v>05/12/2007</v>
      </c>
      <c r="E225" s="16" t="s">
        <v>20</v>
      </c>
      <c r="F225" s="16" t="s">
        <v>14</v>
      </c>
      <c r="G225" s="16">
        <v>21.2</v>
      </c>
      <c r="H225" s="7" t="s">
        <v>199</v>
      </c>
      <c r="I225" s="11"/>
    </row>
    <row r="226" spans="1:9" ht="16.5" customHeight="1" x14ac:dyDescent="0.25">
      <c r="A226" s="16">
        <v>25</v>
      </c>
      <c r="B226" s="16" t="str">
        <f>TEXT("004043","000000")</f>
        <v>004043</v>
      </c>
      <c r="C226" s="16" t="s">
        <v>212</v>
      </c>
      <c r="D226" s="16" t="str">
        <f>TEXT("7/11/2007","dd/mm/yyyy")</f>
        <v>07/11/2007</v>
      </c>
      <c r="E226" s="16" t="s">
        <v>20</v>
      </c>
      <c r="F226" s="16" t="s">
        <v>203</v>
      </c>
      <c r="G226" s="16">
        <v>16.45</v>
      </c>
      <c r="H226" s="7" t="s">
        <v>199</v>
      </c>
      <c r="I226" s="11"/>
    </row>
    <row r="227" spans="1:9" ht="16.5" customHeight="1" x14ac:dyDescent="0.25">
      <c r="A227" s="16">
        <v>26</v>
      </c>
      <c r="B227" s="16" t="str">
        <f>TEXT("004210","000000")</f>
        <v>004210</v>
      </c>
      <c r="C227" s="16" t="s">
        <v>213</v>
      </c>
      <c r="D227" s="16" t="str">
        <f>TEXT("31/8/2007","dd/mm/yyyy")</f>
        <v>31/08/2007</v>
      </c>
      <c r="E227" s="16" t="s">
        <v>20</v>
      </c>
      <c r="F227" s="16" t="s">
        <v>14</v>
      </c>
      <c r="G227" s="16">
        <v>18.350000000000001</v>
      </c>
      <c r="H227" s="7" t="s">
        <v>199</v>
      </c>
      <c r="I227" s="11"/>
    </row>
    <row r="228" spans="1:9" ht="16.5" customHeight="1" x14ac:dyDescent="0.25">
      <c r="A228" s="16">
        <v>27</v>
      </c>
      <c r="B228" s="16" t="str">
        <f>TEXT("004622","000000")</f>
        <v>004622</v>
      </c>
      <c r="C228" s="16" t="s">
        <v>214</v>
      </c>
      <c r="D228" s="16" t="str">
        <f>TEXT("09/10/2007","dd/mm/yyyy")</f>
        <v>09/10/2007</v>
      </c>
      <c r="E228" s="16" t="s">
        <v>13</v>
      </c>
      <c r="F228" s="16" t="s">
        <v>14</v>
      </c>
      <c r="G228" s="16">
        <v>16.75</v>
      </c>
      <c r="H228" s="7" t="s">
        <v>199</v>
      </c>
      <c r="I228" s="11"/>
    </row>
    <row r="229" spans="1:9" ht="16.5" customHeight="1" x14ac:dyDescent="0.25">
      <c r="A229" s="16">
        <v>28</v>
      </c>
      <c r="B229" s="16" t="str">
        <f>TEXT("004671","000000")</f>
        <v>004671</v>
      </c>
      <c r="C229" s="16" t="s">
        <v>215</v>
      </c>
      <c r="D229" s="16" t="str">
        <f>TEXT("28/7/2007","dd/mm/yyyy")</f>
        <v>28/07/2007</v>
      </c>
      <c r="E229" s="16" t="s">
        <v>13</v>
      </c>
      <c r="F229" s="16" t="s">
        <v>14</v>
      </c>
      <c r="G229" s="16">
        <v>21.45</v>
      </c>
      <c r="H229" s="7" t="s">
        <v>199</v>
      </c>
      <c r="I229" s="11"/>
    </row>
    <row r="230" spans="1:9" ht="16.5" customHeight="1" x14ac:dyDescent="0.25">
      <c r="A230" s="16">
        <v>29</v>
      </c>
      <c r="B230" s="16" t="str">
        <f>TEXT("005040","000000")</f>
        <v>005040</v>
      </c>
      <c r="C230" s="16" t="s">
        <v>216</v>
      </c>
      <c r="D230" s="16" t="str">
        <f>TEXT("11/5/2007","dd/mm/yyyy")</f>
        <v>11/05/2007</v>
      </c>
      <c r="E230" s="16" t="s">
        <v>20</v>
      </c>
      <c r="F230" s="16" t="s">
        <v>14</v>
      </c>
      <c r="G230" s="16">
        <v>21.4</v>
      </c>
      <c r="H230" s="7" t="s">
        <v>199</v>
      </c>
      <c r="I230" s="11"/>
    </row>
    <row r="231" spans="1:9" ht="16.5" customHeight="1" x14ac:dyDescent="0.25">
      <c r="A231" s="16">
        <v>30</v>
      </c>
      <c r="B231" s="16" t="str">
        <f>TEXT("005619","000000")</f>
        <v>005619</v>
      </c>
      <c r="C231" s="16" t="s">
        <v>217</v>
      </c>
      <c r="D231" s="16" t="str">
        <f>TEXT("20/10/2007","dd/mm/yyyy")</f>
        <v>20/10/2007</v>
      </c>
      <c r="E231" s="16" t="s">
        <v>20</v>
      </c>
      <c r="F231" s="16" t="s">
        <v>14</v>
      </c>
      <c r="G231" s="16">
        <v>17.600000000000001</v>
      </c>
      <c r="H231" s="7" t="s">
        <v>199</v>
      </c>
      <c r="I231" s="11"/>
    </row>
    <row r="232" spans="1:9" ht="16.5" customHeight="1" x14ac:dyDescent="0.25">
      <c r="A232" s="16">
        <v>31</v>
      </c>
      <c r="B232" s="16" t="str">
        <f>TEXT("005794","000000")</f>
        <v>005794</v>
      </c>
      <c r="C232" s="16" t="s">
        <v>218</v>
      </c>
      <c r="D232" s="16" t="str">
        <f>TEXT("15/7/2007","dd/mm/yyyy")</f>
        <v>15/07/2007</v>
      </c>
      <c r="E232" s="16" t="s">
        <v>20</v>
      </c>
      <c r="F232" s="16" t="s">
        <v>14</v>
      </c>
      <c r="G232" s="16">
        <v>23.5</v>
      </c>
      <c r="H232" s="7" t="s">
        <v>199</v>
      </c>
      <c r="I232" s="11"/>
    </row>
    <row r="233" spans="1:9" ht="16.5" customHeight="1" x14ac:dyDescent="0.25">
      <c r="A233" s="16">
        <v>32</v>
      </c>
      <c r="B233" s="16" t="str">
        <f>TEXT("005840","000000")</f>
        <v>005840</v>
      </c>
      <c r="C233" s="16" t="s">
        <v>219</v>
      </c>
      <c r="D233" s="16" t="str">
        <f>TEXT("4/3/2007","dd/mm/yyyy")</f>
        <v>04/03/2007</v>
      </c>
      <c r="E233" s="16" t="s">
        <v>20</v>
      </c>
      <c r="F233" s="16" t="s">
        <v>14</v>
      </c>
      <c r="G233" s="16">
        <v>20.149999999999999</v>
      </c>
      <c r="H233" s="7" t="s">
        <v>199</v>
      </c>
      <c r="I233" s="11"/>
    </row>
    <row r="234" spans="1:9" ht="16.5" customHeight="1" x14ac:dyDescent="0.25">
      <c r="A234" s="16">
        <v>33</v>
      </c>
      <c r="B234" s="16" t="str">
        <f>TEXT("006329","000000")</f>
        <v>006329</v>
      </c>
      <c r="C234" s="16" t="s">
        <v>220</v>
      </c>
      <c r="D234" s="16" t="str">
        <f>TEXT("06/1/2007","dd/mm/yyyy")</f>
        <v>06/01/2007</v>
      </c>
      <c r="E234" s="16" t="s">
        <v>13</v>
      </c>
      <c r="F234" s="16" t="s">
        <v>14</v>
      </c>
      <c r="G234" s="16">
        <v>20.399999999999999</v>
      </c>
      <c r="H234" s="7" t="s">
        <v>199</v>
      </c>
      <c r="I234" s="11"/>
    </row>
    <row r="235" spans="1:9" ht="16.5" customHeight="1" x14ac:dyDescent="0.25">
      <c r="A235" s="16">
        <v>34</v>
      </c>
      <c r="B235" s="16" t="str">
        <f>TEXT("006358","000000")</f>
        <v>006358</v>
      </c>
      <c r="C235" s="16" t="s">
        <v>221</v>
      </c>
      <c r="D235" s="16" t="str">
        <f>TEXT("12/9/2007","dd/mm/yyyy")</f>
        <v>12/09/2007</v>
      </c>
      <c r="E235" s="16" t="s">
        <v>20</v>
      </c>
      <c r="F235" s="16" t="s">
        <v>14</v>
      </c>
      <c r="G235" s="16">
        <v>23.55</v>
      </c>
      <c r="H235" s="7" t="s">
        <v>199</v>
      </c>
      <c r="I235" s="11"/>
    </row>
    <row r="236" spans="1:9" ht="16.5" customHeight="1" x14ac:dyDescent="0.25">
      <c r="A236" s="16">
        <v>35</v>
      </c>
      <c r="B236" s="16" t="str">
        <f>TEXT("007152","000000")</f>
        <v>007152</v>
      </c>
      <c r="C236" s="16" t="s">
        <v>222</v>
      </c>
      <c r="D236" s="16" t="str">
        <f>TEXT("13/4/2007","dd/mm/yyyy")</f>
        <v>13/04/2007</v>
      </c>
      <c r="E236" s="16" t="s">
        <v>20</v>
      </c>
      <c r="F236" s="16" t="s">
        <v>14</v>
      </c>
      <c r="G236" s="16">
        <v>21.8</v>
      </c>
      <c r="H236" s="7" t="s">
        <v>199</v>
      </c>
      <c r="I236" s="11"/>
    </row>
    <row r="237" spans="1:9" ht="16.5" customHeight="1" x14ac:dyDescent="0.25">
      <c r="A237" s="16">
        <v>36</v>
      </c>
      <c r="B237" s="16" t="str">
        <f>TEXT("007168","000000")</f>
        <v>007168</v>
      </c>
      <c r="C237" s="16" t="s">
        <v>223</v>
      </c>
      <c r="D237" s="16" t="str">
        <f>TEXT("17/3/2007","dd/mm/yyyy")</f>
        <v>17/03/2007</v>
      </c>
      <c r="E237" s="16" t="s">
        <v>20</v>
      </c>
      <c r="F237" s="16" t="s">
        <v>14</v>
      </c>
      <c r="G237" s="16">
        <v>21.8</v>
      </c>
      <c r="H237" s="7" t="s">
        <v>199</v>
      </c>
      <c r="I237" s="11"/>
    </row>
    <row r="238" spans="1:9" ht="16.5" customHeight="1" x14ac:dyDescent="0.25">
      <c r="A238" s="16">
        <v>37</v>
      </c>
      <c r="B238" s="16" t="str">
        <f>TEXT("008044","000000")</f>
        <v>008044</v>
      </c>
      <c r="C238" s="16" t="s">
        <v>224</v>
      </c>
      <c r="D238" s="16" t="str">
        <f>TEXT("28/11/2007","dd/mm/yyyy")</f>
        <v>28/11/2007</v>
      </c>
      <c r="E238" s="16" t="s">
        <v>13</v>
      </c>
      <c r="F238" s="16" t="s">
        <v>14</v>
      </c>
      <c r="G238" s="16">
        <v>17.399999999999999</v>
      </c>
      <c r="H238" s="7" t="s">
        <v>199</v>
      </c>
      <c r="I238" s="11"/>
    </row>
    <row r="239" spans="1:9" ht="16.5" customHeight="1" x14ac:dyDescent="0.25">
      <c r="A239" s="16">
        <v>38</v>
      </c>
      <c r="B239" s="16" t="str">
        <f>TEXT("008506","000000")</f>
        <v>008506</v>
      </c>
      <c r="C239" s="16" t="s">
        <v>225</v>
      </c>
      <c r="D239" s="16" t="str">
        <f>TEXT("18/10/2007","dd/mm/yyyy")</f>
        <v>18/10/2007</v>
      </c>
      <c r="E239" s="16" t="s">
        <v>13</v>
      </c>
      <c r="F239" s="16" t="s">
        <v>14</v>
      </c>
      <c r="G239" s="16">
        <v>23.9</v>
      </c>
      <c r="H239" s="7" t="s">
        <v>199</v>
      </c>
      <c r="I239" s="11"/>
    </row>
    <row r="240" spans="1:9" ht="16.5" customHeight="1" x14ac:dyDescent="0.25">
      <c r="A240" s="16">
        <v>39</v>
      </c>
      <c r="B240" s="16" t="str">
        <f>TEXT("009076","000000")</f>
        <v>009076</v>
      </c>
      <c r="C240" s="16" t="s">
        <v>226</v>
      </c>
      <c r="D240" s="16" t="str">
        <f>TEXT("20/10/2007","dd/mm/yyyy")</f>
        <v>20/10/2007</v>
      </c>
      <c r="E240" s="16" t="s">
        <v>13</v>
      </c>
      <c r="F240" s="16" t="s">
        <v>14</v>
      </c>
      <c r="G240" s="16">
        <v>17.2</v>
      </c>
      <c r="H240" s="7" t="s">
        <v>199</v>
      </c>
      <c r="I240" s="11"/>
    </row>
    <row r="241" spans="1:9" ht="16.5" customHeight="1" x14ac:dyDescent="0.25">
      <c r="A241" s="16">
        <v>40</v>
      </c>
      <c r="B241" s="16" t="str">
        <f>TEXT("009722","000000")</f>
        <v>009722</v>
      </c>
      <c r="C241" s="16" t="s">
        <v>227</v>
      </c>
      <c r="D241" s="16" t="str">
        <f>TEXT("22/7/2007","dd/mm/yyyy")</f>
        <v>22/07/2007</v>
      </c>
      <c r="E241" s="16" t="s">
        <v>13</v>
      </c>
      <c r="F241" s="16" t="s">
        <v>14</v>
      </c>
      <c r="G241" s="16">
        <v>19.149999999999999</v>
      </c>
      <c r="H241" s="7" t="s">
        <v>199</v>
      </c>
      <c r="I241" s="11"/>
    </row>
    <row r="242" spans="1:9" ht="16.5" customHeight="1" x14ac:dyDescent="0.25">
      <c r="A242" s="16">
        <v>41</v>
      </c>
      <c r="B242" s="16" t="str">
        <f>TEXT("009816","000000")</f>
        <v>009816</v>
      </c>
      <c r="C242" s="16" t="s">
        <v>228</v>
      </c>
      <c r="D242" s="16" t="str">
        <f>TEXT("21/9/2007","dd/mm/yyyy")</f>
        <v>21/09/2007</v>
      </c>
      <c r="E242" s="16" t="s">
        <v>13</v>
      </c>
      <c r="F242" s="16" t="s">
        <v>14</v>
      </c>
      <c r="G242" s="16">
        <v>16.899999999999999</v>
      </c>
      <c r="H242" s="7" t="s">
        <v>199</v>
      </c>
      <c r="I242" s="11"/>
    </row>
    <row r="243" spans="1:9" ht="16.5" customHeight="1" x14ac:dyDescent="0.25">
      <c r="A243" s="16">
        <v>42</v>
      </c>
      <c r="B243" s="16" t="str">
        <f>TEXT("009885","000000")</f>
        <v>009885</v>
      </c>
      <c r="C243" s="16" t="s">
        <v>229</v>
      </c>
      <c r="D243" s="16" t="str">
        <f>TEXT("07/02/2007","dd/mm/yyyy")</f>
        <v>07/02/2007</v>
      </c>
      <c r="E243" s="16" t="s">
        <v>20</v>
      </c>
      <c r="F243" s="16" t="s">
        <v>14</v>
      </c>
      <c r="G243" s="16">
        <v>16.649999999999999</v>
      </c>
      <c r="H243" s="7" t="s">
        <v>199</v>
      </c>
      <c r="I243" s="11"/>
    </row>
    <row r="244" spans="1:9" ht="16.5" customHeight="1" x14ac:dyDescent="0.25">
      <c r="A244" s="16">
        <v>43</v>
      </c>
      <c r="B244" s="16" t="str">
        <f>TEXT("010311","000000")</f>
        <v>010311</v>
      </c>
      <c r="C244" s="16" t="s">
        <v>230</v>
      </c>
      <c r="D244" s="16" t="str">
        <f>TEXT("27/1/2007","dd/mm/yyyy")</f>
        <v>27/01/2007</v>
      </c>
      <c r="E244" s="16" t="s">
        <v>13</v>
      </c>
      <c r="F244" s="16" t="s">
        <v>203</v>
      </c>
      <c r="G244" s="16">
        <v>23</v>
      </c>
      <c r="H244" s="7" t="s">
        <v>199</v>
      </c>
      <c r="I244" s="11"/>
    </row>
    <row r="245" spans="1:9" ht="16.5" customHeight="1" x14ac:dyDescent="0.25">
      <c r="A245" s="16">
        <v>44</v>
      </c>
      <c r="B245" s="16" t="str">
        <f>TEXT("011078","000000")</f>
        <v>011078</v>
      </c>
      <c r="C245" s="16" t="s">
        <v>231</v>
      </c>
      <c r="D245" s="16" t="str">
        <f>TEXT("24/3/2007","dd/mm/yyyy")</f>
        <v>24/03/2007</v>
      </c>
      <c r="E245" s="16" t="s">
        <v>13</v>
      </c>
      <c r="F245" s="16" t="s">
        <v>14</v>
      </c>
      <c r="G245" s="16">
        <v>19</v>
      </c>
      <c r="H245" s="7" t="s">
        <v>199</v>
      </c>
      <c r="I245" s="11"/>
    </row>
    <row r="246" spans="1:9" ht="15" x14ac:dyDescent="0.25">
      <c r="A246" s="17" t="s">
        <v>0</v>
      </c>
      <c r="B246" s="17"/>
      <c r="C246" s="17"/>
      <c r="D246" s="17"/>
      <c r="E246" s="17"/>
      <c r="F246" s="17"/>
      <c r="G246" s="12"/>
      <c r="H246" s="12"/>
      <c r="I246" s="1"/>
    </row>
    <row r="247" spans="1:9" ht="15" x14ac:dyDescent="0.25">
      <c r="A247" s="17" t="s">
        <v>1</v>
      </c>
      <c r="B247" s="17"/>
      <c r="C247" s="17"/>
      <c r="D247" s="17"/>
      <c r="E247" s="17"/>
      <c r="F247" s="17"/>
      <c r="G247" s="17"/>
      <c r="H247" s="17"/>
      <c r="I247" s="1"/>
    </row>
    <row r="248" spans="1:9" ht="15" x14ac:dyDescent="0.25">
      <c r="A248" s="17" t="s">
        <v>2</v>
      </c>
      <c r="B248" s="17"/>
      <c r="C248" s="17"/>
      <c r="D248" s="17"/>
      <c r="E248" s="17"/>
      <c r="F248" s="17"/>
      <c r="G248" s="12"/>
      <c r="H248" s="12"/>
      <c r="I248" s="1"/>
    </row>
    <row r="249" spans="1:9" x14ac:dyDescent="0.2">
      <c r="A249" s="18" t="s">
        <v>383</v>
      </c>
      <c r="B249" s="19"/>
      <c r="C249" s="19"/>
      <c r="D249" s="19"/>
      <c r="E249" s="19"/>
      <c r="F249" s="19"/>
      <c r="G249" s="19"/>
      <c r="H249" s="19"/>
      <c r="I249" s="19"/>
    </row>
    <row r="250" spans="1:9" ht="40.5" customHeight="1" x14ac:dyDescent="0.2">
      <c r="A250" s="2" t="s">
        <v>3</v>
      </c>
      <c r="B250" s="2" t="s">
        <v>4</v>
      </c>
      <c r="C250" s="2" t="s">
        <v>5</v>
      </c>
      <c r="D250" s="2" t="s">
        <v>6</v>
      </c>
      <c r="E250" s="2" t="s">
        <v>7</v>
      </c>
      <c r="F250" s="2" t="s">
        <v>8</v>
      </c>
      <c r="G250" s="2" t="s">
        <v>9</v>
      </c>
      <c r="H250" s="14" t="s">
        <v>11</v>
      </c>
      <c r="I250" s="15" t="s">
        <v>10</v>
      </c>
    </row>
    <row r="251" spans="1:9" ht="16.5" customHeight="1" x14ac:dyDescent="0.25">
      <c r="A251" s="16">
        <v>1</v>
      </c>
      <c r="B251" s="16" t="str">
        <f>TEXT("011874","000000")</f>
        <v>011874</v>
      </c>
      <c r="C251" s="16" t="s">
        <v>232</v>
      </c>
      <c r="D251" s="16" t="str">
        <f>TEXT("15/12/2007","dd/mm/yyyy")</f>
        <v>15/12/2007</v>
      </c>
      <c r="E251" s="16" t="s">
        <v>20</v>
      </c>
      <c r="F251" s="16" t="s">
        <v>203</v>
      </c>
      <c r="G251" s="16">
        <v>18.8</v>
      </c>
      <c r="H251" s="7" t="s">
        <v>199</v>
      </c>
      <c r="I251" s="11"/>
    </row>
    <row r="252" spans="1:9" ht="16.5" customHeight="1" x14ac:dyDescent="0.25">
      <c r="A252" s="16">
        <v>2</v>
      </c>
      <c r="B252" s="16" t="str">
        <f>TEXT("012498","000000")</f>
        <v>012498</v>
      </c>
      <c r="C252" s="16" t="s">
        <v>233</v>
      </c>
      <c r="D252" s="16" t="str">
        <f>TEXT("25/11/2007","dd/mm/yyyy")</f>
        <v>25/11/2007</v>
      </c>
      <c r="E252" s="16" t="s">
        <v>20</v>
      </c>
      <c r="F252" s="16" t="s">
        <v>14</v>
      </c>
      <c r="G252" s="16">
        <v>18.75</v>
      </c>
      <c r="H252" s="7" t="s">
        <v>199</v>
      </c>
      <c r="I252" s="11"/>
    </row>
    <row r="253" spans="1:9" ht="16.5" customHeight="1" x14ac:dyDescent="0.25">
      <c r="A253" s="16">
        <v>3</v>
      </c>
      <c r="B253" s="16" t="str">
        <f>TEXT("012986","000000")</f>
        <v>012986</v>
      </c>
      <c r="C253" s="16" t="s">
        <v>234</v>
      </c>
      <c r="D253" s="16" t="str">
        <f>TEXT("19/6/2007","dd/mm/yyyy")</f>
        <v>19/06/2007</v>
      </c>
      <c r="E253" s="16" t="s">
        <v>20</v>
      </c>
      <c r="F253" s="16" t="s">
        <v>14</v>
      </c>
      <c r="G253" s="16">
        <v>20</v>
      </c>
      <c r="H253" s="7" t="s">
        <v>199</v>
      </c>
      <c r="I253" s="11"/>
    </row>
    <row r="254" spans="1:9" ht="16.5" customHeight="1" x14ac:dyDescent="0.25">
      <c r="A254" s="16">
        <v>4</v>
      </c>
      <c r="B254" s="16" t="str">
        <f>TEXT("013093","000000")</f>
        <v>013093</v>
      </c>
      <c r="C254" s="16" t="s">
        <v>235</v>
      </c>
      <c r="D254" s="16" t="str">
        <f>TEXT("20/5/2007","dd/mm/yyyy")</f>
        <v>20/05/2007</v>
      </c>
      <c r="E254" s="16" t="s">
        <v>20</v>
      </c>
      <c r="F254" s="16" t="s">
        <v>14</v>
      </c>
      <c r="G254" s="16">
        <v>16.850000000000001</v>
      </c>
      <c r="H254" s="7" t="s">
        <v>199</v>
      </c>
      <c r="I254" s="11"/>
    </row>
    <row r="255" spans="1:9" ht="16.5" customHeight="1" x14ac:dyDescent="0.25">
      <c r="A255" s="16">
        <v>5</v>
      </c>
      <c r="B255" s="16" t="str">
        <f>TEXT("013231","000000")</f>
        <v>013231</v>
      </c>
      <c r="C255" s="16" t="s">
        <v>236</v>
      </c>
      <c r="D255" s="16" t="str">
        <f>TEXT("15/12/2007","dd/mm/yyyy")</f>
        <v>15/12/2007</v>
      </c>
      <c r="E255" s="16" t="s">
        <v>13</v>
      </c>
      <c r="F255" s="16" t="s">
        <v>14</v>
      </c>
      <c r="G255" s="16">
        <v>19.100000000000001</v>
      </c>
      <c r="H255" s="7" t="s">
        <v>199</v>
      </c>
      <c r="I255" s="11"/>
    </row>
    <row r="256" spans="1:9" ht="16.5" customHeight="1" x14ac:dyDescent="0.25">
      <c r="A256" s="16">
        <v>6</v>
      </c>
      <c r="B256" s="16" t="str">
        <f>TEXT("013537","000000")</f>
        <v>013537</v>
      </c>
      <c r="C256" s="16" t="s">
        <v>237</v>
      </c>
      <c r="D256" s="16" t="str">
        <f>TEXT("25/7/2007","dd/mm/yyyy")</f>
        <v>25/07/2007</v>
      </c>
      <c r="E256" s="16" t="s">
        <v>20</v>
      </c>
      <c r="F256" s="16" t="s">
        <v>14</v>
      </c>
      <c r="G256" s="16">
        <v>20.7</v>
      </c>
      <c r="H256" s="7" t="s">
        <v>199</v>
      </c>
      <c r="I256" s="11"/>
    </row>
    <row r="257" spans="1:9" ht="16.5" customHeight="1" x14ac:dyDescent="0.25">
      <c r="A257" s="16">
        <v>7</v>
      </c>
      <c r="B257" s="16" t="str">
        <f>TEXT("013782","000000")</f>
        <v>013782</v>
      </c>
      <c r="C257" s="16" t="s">
        <v>40</v>
      </c>
      <c r="D257" s="16" t="str">
        <f>TEXT("25/8/2007","dd/mm/yyyy")</f>
        <v>25/08/2007</v>
      </c>
      <c r="E257" s="16" t="s">
        <v>13</v>
      </c>
      <c r="F257" s="16" t="s">
        <v>14</v>
      </c>
      <c r="G257" s="16">
        <v>25.65</v>
      </c>
      <c r="H257" s="7" t="s">
        <v>199</v>
      </c>
      <c r="I257" s="11"/>
    </row>
    <row r="258" spans="1:9" ht="16.5" customHeight="1" x14ac:dyDescent="0.25">
      <c r="A258" s="16">
        <v>8</v>
      </c>
      <c r="B258" s="16" t="str">
        <f>TEXT("014205","000000")</f>
        <v>014205</v>
      </c>
      <c r="C258" s="16" t="s">
        <v>238</v>
      </c>
      <c r="D258" s="16" t="str">
        <f>TEXT("16/3/2007","dd/mm/yyyy")</f>
        <v>16/03/2007</v>
      </c>
      <c r="E258" s="16" t="s">
        <v>13</v>
      </c>
      <c r="F258" s="16" t="s">
        <v>14</v>
      </c>
      <c r="G258" s="16">
        <v>19.350000000000001</v>
      </c>
      <c r="H258" s="7" t="s">
        <v>199</v>
      </c>
      <c r="I258" s="11"/>
    </row>
    <row r="259" spans="1:9" ht="16.5" customHeight="1" x14ac:dyDescent="0.25">
      <c r="A259" s="16">
        <v>9</v>
      </c>
      <c r="B259" s="16" t="str">
        <f>TEXT("014403","000000")</f>
        <v>014403</v>
      </c>
      <c r="C259" s="16" t="s">
        <v>239</v>
      </c>
      <c r="D259" s="16" t="str">
        <f>TEXT("19/1/2007","dd/mm/yyyy")</f>
        <v>19/01/2007</v>
      </c>
      <c r="E259" s="16" t="s">
        <v>13</v>
      </c>
      <c r="F259" s="16" t="s">
        <v>14</v>
      </c>
      <c r="G259" s="16">
        <v>22.55</v>
      </c>
      <c r="H259" s="7" t="s">
        <v>199</v>
      </c>
      <c r="I259" s="11"/>
    </row>
    <row r="260" spans="1:9" ht="16.5" customHeight="1" x14ac:dyDescent="0.25">
      <c r="A260" s="16">
        <v>10</v>
      </c>
      <c r="B260" s="16" t="str">
        <f>TEXT("014460","000000")</f>
        <v>014460</v>
      </c>
      <c r="C260" s="16" t="s">
        <v>96</v>
      </c>
      <c r="D260" s="16" t="str">
        <f>TEXT("07/02/2007","dd/mm/yyyy")</f>
        <v>07/02/2007</v>
      </c>
      <c r="E260" s="16" t="s">
        <v>13</v>
      </c>
      <c r="F260" s="16" t="s">
        <v>14</v>
      </c>
      <c r="G260" s="16">
        <v>19.649999999999999</v>
      </c>
      <c r="H260" s="7" t="s">
        <v>199</v>
      </c>
      <c r="I260" s="11"/>
    </row>
    <row r="261" spans="1:9" ht="16.5" customHeight="1" x14ac:dyDescent="0.25">
      <c r="A261" s="16">
        <v>11</v>
      </c>
      <c r="B261" s="16" t="str">
        <f>TEXT("014708","000000")</f>
        <v>014708</v>
      </c>
      <c r="C261" s="16" t="s">
        <v>240</v>
      </c>
      <c r="D261" s="16" t="str">
        <f>TEXT("12/12/2007","dd/mm/yyyy")</f>
        <v>12/12/2007</v>
      </c>
      <c r="E261" s="16" t="s">
        <v>20</v>
      </c>
      <c r="F261" s="16" t="s">
        <v>14</v>
      </c>
      <c r="G261" s="16">
        <v>22.6</v>
      </c>
      <c r="H261" s="7" t="s">
        <v>199</v>
      </c>
      <c r="I261" s="11"/>
    </row>
    <row r="262" spans="1:9" ht="16.5" customHeight="1" x14ac:dyDescent="0.25">
      <c r="A262" s="16">
        <v>12</v>
      </c>
      <c r="B262" s="16" t="str">
        <f>TEXT("014748","000000")</f>
        <v>014748</v>
      </c>
      <c r="C262" s="16" t="s">
        <v>241</v>
      </c>
      <c r="D262" s="16" t="str">
        <f>TEXT("14/12/2007","dd/mm/yyyy")</f>
        <v>14/12/2007</v>
      </c>
      <c r="E262" s="16" t="s">
        <v>20</v>
      </c>
      <c r="F262" s="16" t="s">
        <v>14</v>
      </c>
      <c r="G262" s="16">
        <v>22.15</v>
      </c>
      <c r="H262" s="7" t="s">
        <v>199</v>
      </c>
      <c r="I262" s="11"/>
    </row>
    <row r="263" spans="1:9" ht="16.5" customHeight="1" x14ac:dyDescent="0.25">
      <c r="A263" s="16">
        <v>13</v>
      </c>
      <c r="B263" s="16" t="str">
        <f>TEXT("014796","000000")</f>
        <v>014796</v>
      </c>
      <c r="C263" s="16" t="s">
        <v>242</v>
      </c>
      <c r="D263" s="16" t="str">
        <f>TEXT("29/3/2007","dd/mm/yyyy")</f>
        <v>29/03/2007</v>
      </c>
      <c r="E263" s="16" t="s">
        <v>20</v>
      </c>
      <c r="F263" s="16" t="s">
        <v>14</v>
      </c>
      <c r="G263" s="16">
        <v>18.05</v>
      </c>
      <c r="H263" s="7" t="s">
        <v>199</v>
      </c>
      <c r="I263" s="11"/>
    </row>
    <row r="264" spans="1:9" ht="16.5" customHeight="1" x14ac:dyDescent="0.25">
      <c r="A264" s="16">
        <v>14</v>
      </c>
      <c r="B264" s="16" t="str">
        <f>TEXT("014915","000000")</f>
        <v>014915</v>
      </c>
      <c r="C264" s="16" t="s">
        <v>243</v>
      </c>
      <c r="D264" s="16" t="str">
        <f>TEXT("28/10/2007","dd/mm/yyyy")</f>
        <v>28/10/2007</v>
      </c>
      <c r="E264" s="16" t="s">
        <v>13</v>
      </c>
      <c r="F264" s="16" t="s">
        <v>14</v>
      </c>
      <c r="G264" s="16">
        <v>18.75</v>
      </c>
      <c r="H264" s="7" t="s">
        <v>199</v>
      </c>
      <c r="I264" s="11"/>
    </row>
    <row r="265" spans="1:9" ht="16.5" customHeight="1" x14ac:dyDescent="0.25">
      <c r="A265" s="16">
        <v>15</v>
      </c>
      <c r="B265" s="16" t="str">
        <f>TEXT("015001","000000")</f>
        <v>015001</v>
      </c>
      <c r="C265" s="16" t="s">
        <v>244</v>
      </c>
      <c r="D265" s="16" t="str">
        <f>TEXT("03/9/2007","dd/mm/yyyy")</f>
        <v>03/09/2007</v>
      </c>
      <c r="E265" s="16" t="s">
        <v>13</v>
      </c>
      <c r="F265" s="16" t="s">
        <v>14</v>
      </c>
      <c r="G265" s="16">
        <v>21.7</v>
      </c>
      <c r="H265" s="7" t="s">
        <v>199</v>
      </c>
      <c r="I265" s="11"/>
    </row>
    <row r="266" spans="1:9" ht="16.5" customHeight="1" x14ac:dyDescent="0.25">
      <c r="A266" s="16">
        <v>16</v>
      </c>
      <c r="B266" s="16" t="str">
        <f>TEXT("015049","000000")</f>
        <v>015049</v>
      </c>
      <c r="C266" s="16" t="s">
        <v>245</v>
      </c>
      <c r="D266" s="16" t="str">
        <f>TEXT("17/4/2007","dd/mm/yyyy")</f>
        <v>17/04/2007</v>
      </c>
      <c r="E266" s="16" t="s">
        <v>13</v>
      </c>
      <c r="F266" s="16" t="s">
        <v>14</v>
      </c>
      <c r="G266" s="16">
        <v>18.55</v>
      </c>
      <c r="H266" s="7" t="s">
        <v>199</v>
      </c>
      <c r="I266" s="11"/>
    </row>
    <row r="267" spans="1:9" ht="16.5" customHeight="1" x14ac:dyDescent="0.25">
      <c r="A267" s="16">
        <v>17</v>
      </c>
      <c r="B267" s="16" t="str">
        <f>TEXT("015255","000000")</f>
        <v>015255</v>
      </c>
      <c r="C267" s="16" t="s">
        <v>246</v>
      </c>
      <c r="D267" s="16" t="str">
        <f>TEXT("19/6/2007","dd/mm/yyyy")</f>
        <v>19/06/2007</v>
      </c>
      <c r="E267" s="16" t="s">
        <v>13</v>
      </c>
      <c r="F267" s="16" t="s">
        <v>203</v>
      </c>
      <c r="G267" s="16">
        <v>22.2</v>
      </c>
      <c r="H267" s="7" t="s">
        <v>199</v>
      </c>
      <c r="I267" s="11"/>
    </row>
    <row r="268" spans="1:9" ht="16.5" customHeight="1" x14ac:dyDescent="0.25">
      <c r="A268" s="16">
        <v>18</v>
      </c>
      <c r="B268" s="16" t="str">
        <f>TEXT("015752","000000")</f>
        <v>015752</v>
      </c>
      <c r="C268" s="16" t="s">
        <v>247</v>
      </c>
      <c r="D268" s="16" t="str">
        <f>TEXT("07/11/2007","dd/mm/yyyy")</f>
        <v>07/11/2007</v>
      </c>
      <c r="E268" s="16" t="s">
        <v>20</v>
      </c>
      <c r="F268" s="16" t="s">
        <v>14</v>
      </c>
      <c r="G268" s="16">
        <v>17</v>
      </c>
      <c r="H268" s="7" t="s">
        <v>199</v>
      </c>
      <c r="I268" s="11"/>
    </row>
    <row r="269" spans="1:9" ht="16.5" customHeight="1" x14ac:dyDescent="0.25">
      <c r="A269" s="16">
        <v>19</v>
      </c>
      <c r="B269" s="16" t="str">
        <f>TEXT("016084","000000")</f>
        <v>016084</v>
      </c>
      <c r="C269" s="16" t="s">
        <v>99</v>
      </c>
      <c r="D269" s="16" t="str">
        <f>TEXT("11/7/2007","dd/mm/yyyy")</f>
        <v>11/07/2007</v>
      </c>
      <c r="E269" s="16" t="s">
        <v>13</v>
      </c>
      <c r="F269" s="16" t="s">
        <v>14</v>
      </c>
      <c r="G269" s="16">
        <v>19.7</v>
      </c>
      <c r="H269" s="7" t="s">
        <v>199</v>
      </c>
      <c r="I269" s="11"/>
    </row>
    <row r="270" spans="1:9" ht="16.5" customHeight="1" x14ac:dyDescent="0.25">
      <c r="A270" s="16">
        <v>20</v>
      </c>
      <c r="B270" s="16" t="str">
        <f>TEXT("016767","000000")</f>
        <v>016767</v>
      </c>
      <c r="C270" s="16" t="s">
        <v>248</v>
      </c>
      <c r="D270" s="16" t="str">
        <f>TEXT("15/3/2007","dd/mm/yyyy")</f>
        <v>15/03/2007</v>
      </c>
      <c r="E270" s="16" t="s">
        <v>20</v>
      </c>
      <c r="F270" s="16" t="s">
        <v>14</v>
      </c>
      <c r="G270" s="16">
        <v>16.350000000000001</v>
      </c>
      <c r="H270" s="7" t="s">
        <v>199</v>
      </c>
      <c r="I270" s="11"/>
    </row>
    <row r="271" spans="1:9" ht="16.5" customHeight="1" x14ac:dyDescent="0.25">
      <c r="A271" s="16">
        <v>21</v>
      </c>
      <c r="B271" s="16" t="str">
        <f>TEXT("016794","000000")</f>
        <v>016794</v>
      </c>
      <c r="C271" s="16" t="s">
        <v>249</v>
      </c>
      <c r="D271" s="16" t="str">
        <f>TEXT("8/8/2007","dd/mm/yyyy")</f>
        <v>08/08/2007</v>
      </c>
      <c r="E271" s="16" t="s">
        <v>20</v>
      </c>
      <c r="F271" s="16" t="s">
        <v>14</v>
      </c>
      <c r="G271" s="16">
        <v>21.3</v>
      </c>
      <c r="H271" s="7" t="s">
        <v>199</v>
      </c>
      <c r="I271" s="11"/>
    </row>
    <row r="272" spans="1:9" ht="16.5" customHeight="1" x14ac:dyDescent="0.25">
      <c r="A272" s="16">
        <v>22</v>
      </c>
      <c r="B272" s="16" t="str">
        <f>TEXT("017153","000000")</f>
        <v>017153</v>
      </c>
      <c r="C272" s="16" t="s">
        <v>250</v>
      </c>
      <c r="D272" s="16" t="str">
        <f>TEXT("11/10/2007","dd/mm/yyyy")</f>
        <v>11/10/2007</v>
      </c>
      <c r="E272" s="16" t="s">
        <v>13</v>
      </c>
      <c r="F272" s="16" t="s">
        <v>14</v>
      </c>
      <c r="G272" s="16">
        <v>19</v>
      </c>
      <c r="H272" s="7" t="s">
        <v>199</v>
      </c>
      <c r="I272" s="11"/>
    </row>
    <row r="273" spans="1:9" ht="16.5" customHeight="1" x14ac:dyDescent="0.25">
      <c r="A273" s="16">
        <v>23</v>
      </c>
      <c r="B273" s="16" t="str">
        <f>TEXT("017178","000000")</f>
        <v>017178</v>
      </c>
      <c r="C273" s="16" t="s">
        <v>251</v>
      </c>
      <c r="D273" s="16" t="str">
        <f>TEXT("5/12/2007","dd/mm/yyyy")</f>
        <v>05/12/2007</v>
      </c>
      <c r="E273" s="16" t="s">
        <v>13</v>
      </c>
      <c r="F273" s="16" t="s">
        <v>14</v>
      </c>
      <c r="G273" s="16">
        <v>18.649999999999999</v>
      </c>
      <c r="H273" s="7" t="s">
        <v>199</v>
      </c>
      <c r="I273" s="11"/>
    </row>
    <row r="274" spans="1:9" ht="16.5" customHeight="1" x14ac:dyDescent="0.25">
      <c r="A274" s="16">
        <v>24</v>
      </c>
      <c r="B274" s="16" t="str">
        <f>TEXT("017188","000000")</f>
        <v>017188</v>
      </c>
      <c r="C274" s="16" t="s">
        <v>252</v>
      </c>
      <c r="D274" s="16" t="str">
        <f>TEXT("23/7/2007","dd/mm/yyyy")</f>
        <v>23/07/2007</v>
      </c>
      <c r="E274" s="16" t="s">
        <v>13</v>
      </c>
      <c r="F274" s="16" t="s">
        <v>14</v>
      </c>
      <c r="G274" s="16">
        <v>24.45</v>
      </c>
      <c r="H274" s="7" t="s">
        <v>199</v>
      </c>
      <c r="I274" s="11"/>
    </row>
    <row r="275" spans="1:9" ht="16.5" customHeight="1" x14ac:dyDescent="0.25">
      <c r="A275" s="16">
        <v>25</v>
      </c>
      <c r="B275" s="16" t="str">
        <f>TEXT("016480","000000")</f>
        <v>016480</v>
      </c>
      <c r="C275" s="16" t="s">
        <v>253</v>
      </c>
      <c r="D275" s="16" t="str">
        <f>TEXT("02/01/2007","dd/mm/yyyy")</f>
        <v>02/01/2007</v>
      </c>
      <c r="E275" s="16" t="s">
        <v>13</v>
      </c>
      <c r="F275" s="16" t="s">
        <v>14</v>
      </c>
      <c r="G275" s="16">
        <v>16.899999999999999</v>
      </c>
      <c r="H275" s="7" t="s">
        <v>254</v>
      </c>
      <c r="I275" s="11"/>
    </row>
    <row r="276" spans="1:9" ht="16.5" customHeight="1" x14ac:dyDescent="0.25">
      <c r="A276" s="16">
        <v>26</v>
      </c>
      <c r="B276" s="16" t="str">
        <f>TEXT("000864","000000")</f>
        <v>000864</v>
      </c>
      <c r="C276" s="16" t="s">
        <v>255</v>
      </c>
      <c r="D276" s="16" t="str">
        <f>TEXT("20/02/2007","dd/mm/yyyy")</f>
        <v>20/02/2007</v>
      </c>
      <c r="E276" s="16" t="s">
        <v>13</v>
      </c>
      <c r="F276" s="16" t="s">
        <v>14</v>
      </c>
      <c r="G276" s="16">
        <v>19.95</v>
      </c>
      <c r="H276" s="7" t="s">
        <v>256</v>
      </c>
      <c r="I276" s="11"/>
    </row>
    <row r="277" spans="1:9" ht="16.5" customHeight="1" x14ac:dyDescent="0.25">
      <c r="A277" s="16">
        <v>27</v>
      </c>
      <c r="B277" s="16" t="str">
        <f>TEXT("002483","000000")</f>
        <v>002483</v>
      </c>
      <c r="C277" s="16" t="s">
        <v>257</v>
      </c>
      <c r="D277" s="16" t="str">
        <f>TEXT("28/06/2007","dd/mm/yyyy")</f>
        <v>28/06/2007</v>
      </c>
      <c r="E277" s="16" t="s">
        <v>13</v>
      </c>
      <c r="F277" s="16" t="s">
        <v>14</v>
      </c>
      <c r="G277" s="16">
        <v>18.649999999999999</v>
      </c>
      <c r="H277" s="7" t="s">
        <v>256</v>
      </c>
      <c r="I277" s="11"/>
    </row>
    <row r="278" spans="1:9" ht="16.5" customHeight="1" x14ac:dyDescent="0.25">
      <c r="A278" s="16">
        <v>28</v>
      </c>
      <c r="B278" s="16" t="str">
        <f>TEXT("009344","000000")</f>
        <v>009344</v>
      </c>
      <c r="C278" s="16" t="s">
        <v>258</v>
      </c>
      <c r="D278" s="16" t="str">
        <f>TEXT("15/01/2007","dd/mm/yyyy")</f>
        <v>15/01/2007</v>
      </c>
      <c r="E278" s="16" t="s">
        <v>20</v>
      </c>
      <c r="F278" s="16" t="s">
        <v>14</v>
      </c>
      <c r="G278" s="16">
        <v>18.45</v>
      </c>
      <c r="H278" s="7" t="s">
        <v>256</v>
      </c>
      <c r="I278" s="11"/>
    </row>
    <row r="279" spans="1:9" ht="16.5" customHeight="1" x14ac:dyDescent="0.25">
      <c r="A279" s="16">
        <v>29</v>
      </c>
      <c r="B279" s="16" t="str">
        <f>TEXT("009557","000000")</f>
        <v>009557</v>
      </c>
      <c r="C279" s="16" t="s">
        <v>259</v>
      </c>
      <c r="D279" s="16" t="str">
        <f>TEXT("21/04/2007","dd/mm/yyyy")</f>
        <v>21/04/2007</v>
      </c>
      <c r="E279" s="16" t="s">
        <v>13</v>
      </c>
      <c r="F279" s="16" t="s">
        <v>14</v>
      </c>
      <c r="G279" s="16">
        <v>24.75</v>
      </c>
      <c r="H279" s="7" t="s">
        <v>256</v>
      </c>
      <c r="I279" s="11"/>
    </row>
    <row r="280" spans="1:9" ht="16.5" customHeight="1" x14ac:dyDescent="0.25">
      <c r="A280" s="16">
        <v>30</v>
      </c>
      <c r="B280" s="16" t="str">
        <f>TEXT("000322","000000")</f>
        <v>000322</v>
      </c>
      <c r="C280" s="16" t="s">
        <v>260</v>
      </c>
      <c r="D280" s="16" t="str">
        <f>TEXT("18/03/2007","dd/mm/yyyy")</f>
        <v>18/03/2007</v>
      </c>
      <c r="E280" s="16" t="s">
        <v>13</v>
      </c>
      <c r="F280" s="16" t="s">
        <v>14</v>
      </c>
      <c r="G280" s="16">
        <v>23.55</v>
      </c>
      <c r="H280" s="7" t="s">
        <v>261</v>
      </c>
      <c r="I280" s="11"/>
    </row>
    <row r="281" spans="1:9" ht="16.5" customHeight="1" x14ac:dyDescent="0.25">
      <c r="A281" s="16">
        <v>31</v>
      </c>
      <c r="B281" s="16" t="str">
        <f>TEXT("000485","000000")</f>
        <v>000485</v>
      </c>
      <c r="C281" s="16" t="s">
        <v>262</v>
      </c>
      <c r="D281" s="16" t="str">
        <f>TEXT("26/06/2007","dd/mm/yyyy")</f>
        <v>26/06/2007</v>
      </c>
      <c r="E281" s="16" t="s">
        <v>20</v>
      </c>
      <c r="F281" s="16" t="s">
        <v>14</v>
      </c>
      <c r="G281" s="16">
        <v>23.05</v>
      </c>
      <c r="H281" s="7" t="s">
        <v>261</v>
      </c>
      <c r="I281" s="11"/>
    </row>
    <row r="282" spans="1:9" ht="16.5" customHeight="1" x14ac:dyDescent="0.25">
      <c r="A282" s="16">
        <v>32</v>
      </c>
      <c r="B282" s="16" t="str">
        <f>TEXT("000642","000000")</f>
        <v>000642</v>
      </c>
      <c r="C282" s="16" t="s">
        <v>263</v>
      </c>
      <c r="D282" s="16" t="str">
        <f>TEXT("18/01/2007","dd/mm/yyyy")</f>
        <v>18/01/2007</v>
      </c>
      <c r="E282" s="16" t="s">
        <v>13</v>
      </c>
      <c r="F282" s="16" t="s">
        <v>14</v>
      </c>
      <c r="G282" s="16">
        <v>18.649999999999999</v>
      </c>
      <c r="H282" s="7" t="s">
        <v>261</v>
      </c>
      <c r="I282" s="11"/>
    </row>
    <row r="283" spans="1:9" ht="16.5" customHeight="1" x14ac:dyDescent="0.25">
      <c r="A283" s="16">
        <v>33</v>
      </c>
      <c r="B283" s="16" t="str">
        <f>TEXT("000935","000000")</f>
        <v>000935</v>
      </c>
      <c r="C283" s="16" t="s">
        <v>264</v>
      </c>
      <c r="D283" s="16" t="str">
        <f>TEXT("02/01/2007","dd/mm/yyyy")</f>
        <v>02/01/2007</v>
      </c>
      <c r="E283" s="16" t="s">
        <v>13</v>
      </c>
      <c r="F283" s="16" t="s">
        <v>14</v>
      </c>
      <c r="G283" s="16">
        <v>19.899999999999999</v>
      </c>
      <c r="H283" s="7" t="s">
        <v>261</v>
      </c>
      <c r="I283" s="11"/>
    </row>
    <row r="284" spans="1:9" ht="16.5" customHeight="1" x14ac:dyDescent="0.25">
      <c r="A284" s="16">
        <v>34</v>
      </c>
      <c r="B284" s="16" t="str">
        <f>TEXT("000945","000000")</f>
        <v>000945</v>
      </c>
      <c r="C284" s="16" t="s">
        <v>264</v>
      </c>
      <c r="D284" s="16" t="str">
        <f>TEXT("13/01/2007","dd/mm/yyyy")</f>
        <v>13/01/2007</v>
      </c>
      <c r="E284" s="16" t="s">
        <v>13</v>
      </c>
      <c r="F284" s="16" t="s">
        <v>14</v>
      </c>
      <c r="G284" s="16">
        <v>19.25</v>
      </c>
      <c r="H284" s="7" t="s">
        <v>261</v>
      </c>
      <c r="I284" s="11"/>
    </row>
    <row r="285" spans="1:9" ht="16.5" customHeight="1" x14ac:dyDescent="0.25">
      <c r="A285" s="16">
        <v>35</v>
      </c>
      <c r="B285" s="16" t="str">
        <f>TEXT("001222","000000")</f>
        <v>001222</v>
      </c>
      <c r="C285" s="16" t="s">
        <v>265</v>
      </c>
      <c r="D285" s="16" t="str">
        <f>TEXT("22/02/2007","dd/mm/yyyy")</f>
        <v>22/02/2007</v>
      </c>
      <c r="E285" s="16" t="s">
        <v>20</v>
      </c>
      <c r="F285" s="16" t="s">
        <v>14</v>
      </c>
      <c r="G285" s="16">
        <v>21.45</v>
      </c>
      <c r="H285" s="7" t="s">
        <v>261</v>
      </c>
      <c r="I285" s="11"/>
    </row>
    <row r="286" spans="1:9" ht="16.5" customHeight="1" x14ac:dyDescent="0.25">
      <c r="A286" s="16">
        <v>36</v>
      </c>
      <c r="B286" s="16" t="str">
        <f>TEXT("001371","000000")</f>
        <v>001371</v>
      </c>
      <c r="C286" s="16" t="s">
        <v>54</v>
      </c>
      <c r="D286" s="16" t="str">
        <f>TEXT("23/01/2007","dd/mm/yyyy")</f>
        <v>23/01/2007</v>
      </c>
      <c r="E286" s="16" t="s">
        <v>13</v>
      </c>
      <c r="F286" s="16" t="s">
        <v>14</v>
      </c>
      <c r="G286" s="16">
        <v>21.7</v>
      </c>
      <c r="H286" s="7" t="s">
        <v>261</v>
      </c>
      <c r="I286" s="11"/>
    </row>
    <row r="287" spans="1:9" ht="16.5" customHeight="1" x14ac:dyDescent="0.25">
      <c r="A287" s="16">
        <v>37</v>
      </c>
      <c r="B287" s="16" t="str">
        <f>TEXT("002485","000000")</f>
        <v>002485</v>
      </c>
      <c r="C287" s="16" t="s">
        <v>266</v>
      </c>
      <c r="D287" s="16" t="str">
        <f>TEXT("06/11/2007","dd/mm/yyyy")</f>
        <v>06/11/2007</v>
      </c>
      <c r="E287" s="16" t="s">
        <v>13</v>
      </c>
      <c r="F287" s="16" t="s">
        <v>14</v>
      </c>
      <c r="G287" s="16">
        <v>20.65</v>
      </c>
      <c r="H287" s="7" t="s">
        <v>261</v>
      </c>
      <c r="I287" s="11"/>
    </row>
    <row r="288" spans="1:9" ht="16.5" customHeight="1" x14ac:dyDescent="0.25">
      <c r="A288" s="16">
        <v>38</v>
      </c>
      <c r="B288" s="16" t="str">
        <f>TEXT("002567","000000")</f>
        <v>002567</v>
      </c>
      <c r="C288" s="16" t="s">
        <v>267</v>
      </c>
      <c r="D288" s="16" t="str">
        <f>TEXT("17/09/2007","dd/mm/yyyy")</f>
        <v>17/09/2007</v>
      </c>
      <c r="E288" s="16" t="s">
        <v>20</v>
      </c>
      <c r="F288" s="16" t="s">
        <v>14</v>
      </c>
      <c r="G288" s="16">
        <v>21.35</v>
      </c>
      <c r="H288" s="7" t="s">
        <v>261</v>
      </c>
      <c r="I288" s="11"/>
    </row>
    <row r="289" spans="1:9" ht="16.5" customHeight="1" x14ac:dyDescent="0.25">
      <c r="A289" s="16">
        <v>39</v>
      </c>
      <c r="B289" s="16" t="str">
        <f>TEXT("002681","000000")</f>
        <v>002681</v>
      </c>
      <c r="C289" s="16" t="s">
        <v>268</v>
      </c>
      <c r="D289" s="16" t="str">
        <f>TEXT("21/02/2007","dd/mm/yyyy")</f>
        <v>21/02/2007</v>
      </c>
      <c r="E289" s="16" t="s">
        <v>20</v>
      </c>
      <c r="F289" s="16" t="s">
        <v>14</v>
      </c>
      <c r="G289" s="16">
        <v>18.05</v>
      </c>
      <c r="H289" s="7" t="s">
        <v>261</v>
      </c>
      <c r="I289" s="11"/>
    </row>
    <row r="290" spans="1:9" ht="16.5" customHeight="1" x14ac:dyDescent="0.25">
      <c r="A290" s="16">
        <v>40</v>
      </c>
      <c r="B290" s="16" t="str">
        <f>TEXT("002713","000000")</f>
        <v>002713</v>
      </c>
      <c r="C290" s="16" t="s">
        <v>269</v>
      </c>
      <c r="D290" s="16" t="str">
        <f>TEXT("29/07/2007","dd/mm/yyyy")</f>
        <v>29/07/2007</v>
      </c>
      <c r="E290" s="16" t="s">
        <v>13</v>
      </c>
      <c r="F290" s="16" t="s">
        <v>14</v>
      </c>
      <c r="G290" s="16">
        <v>16.850000000000001</v>
      </c>
      <c r="H290" s="7" t="s">
        <v>261</v>
      </c>
      <c r="I290" s="11"/>
    </row>
    <row r="291" spans="1:9" ht="16.5" customHeight="1" x14ac:dyDescent="0.25">
      <c r="A291" s="16">
        <v>41</v>
      </c>
      <c r="B291" s="16" t="str">
        <f>TEXT("003414","000000")</f>
        <v>003414</v>
      </c>
      <c r="C291" s="16" t="s">
        <v>270</v>
      </c>
      <c r="D291" s="16" t="str">
        <f>TEXT("16/12/2007","dd/mm/yyyy")</f>
        <v>16/12/2007</v>
      </c>
      <c r="E291" s="16" t="s">
        <v>20</v>
      </c>
      <c r="F291" s="16" t="s">
        <v>14</v>
      </c>
      <c r="G291" s="16">
        <v>24.4</v>
      </c>
      <c r="H291" s="7" t="s">
        <v>261</v>
      </c>
      <c r="I291" s="11"/>
    </row>
    <row r="292" spans="1:9" ht="16.5" customHeight="1" x14ac:dyDescent="0.25">
      <c r="A292" s="16">
        <v>42</v>
      </c>
      <c r="B292" s="16" t="str">
        <f>TEXT("003578","000000")</f>
        <v>003578</v>
      </c>
      <c r="C292" s="16" t="s">
        <v>271</v>
      </c>
      <c r="D292" s="16" t="str">
        <f>TEXT("25/06/2007","dd/mm/yyyy")</f>
        <v>25/06/2007</v>
      </c>
      <c r="E292" s="16" t="s">
        <v>13</v>
      </c>
      <c r="F292" s="16" t="s">
        <v>14</v>
      </c>
      <c r="G292" s="16">
        <v>23.05</v>
      </c>
      <c r="H292" s="7" t="s">
        <v>261</v>
      </c>
      <c r="I292" s="11"/>
    </row>
    <row r="293" spans="1:9" ht="16.5" customHeight="1" x14ac:dyDescent="0.25">
      <c r="A293" s="16">
        <v>43</v>
      </c>
      <c r="B293" s="16" t="str">
        <f>TEXT("003795","000000")</f>
        <v>003795</v>
      </c>
      <c r="C293" s="16" t="s">
        <v>272</v>
      </c>
      <c r="D293" s="16" t="str">
        <f>TEXT("13/12/2007","dd/mm/yyyy")</f>
        <v>13/12/2007</v>
      </c>
      <c r="E293" s="16" t="s">
        <v>20</v>
      </c>
      <c r="F293" s="16" t="s">
        <v>14</v>
      </c>
      <c r="G293" s="16">
        <v>17.149999999999999</v>
      </c>
      <c r="H293" s="7" t="s">
        <v>261</v>
      </c>
      <c r="I293" s="11"/>
    </row>
    <row r="294" spans="1:9" ht="16.5" customHeight="1" x14ac:dyDescent="0.25">
      <c r="A294" s="16">
        <v>44</v>
      </c>
      <c r="B294" s="16" t="str">
        <f>TEXT("004061","000000")</f>
        <v>004061</v>
      </c>
      <c r="C294" s="16" t="s">
        <v>273</v>
      </c>
      <c r="D294" s="16" t="str">
        <f>TEXT("08/12/2006","dd/mm/yyyy")</f>
        <v>08/12/2006</v>
      </c>
      <c r="E294" s="16" t="s">
        <v>20</v>
      </c>
      <c r="F294" s="16" t="s">
        <v>14</v>
      </c>
      <c r="G294" s="16">
        <v>17.8</v>
      </c>
      <c r="H294" s="7" t="s">
        <v>261</v>
      </c>
      <c r="I294" s="11"/>
    </row>
    <row r="295" spans="1:9" ht="15" x14ac:dyDescent="0.25">
      <c r="A295" s="17" t="s">
        <v>0</v>
      </c>
      <c r="B295" s="17"/>
      <c r="C295" s="17"/>
      <c r="D295" s="17"/>
      <c r="E295" s="17"/>
      <c r="F295" s="17"/>
      <c r="G295" s="12"/>
      <c r="H295" s="12"/>
      <c r="I295" s="1"/>
    </row>
    <row r="296" spans="1:9" ht="15" x14ac:dyDescent="0.25">
      <c r="A296" s="17" t="s">
        <v>1</v>
      </c>
      <c r="B296" s="17"/>
      <c r="C296" s="17"/>
      <c r="D296" s="17"/>
      <c r="E296" s="17"/>
      <c r="F296" s="17"/>
      <c r="G296" s="17"/>
      <c r="H296" s="17"/>
      <c r="I296" s="1"/>
    </row>
    <row r="297" spans="1:9" ht="15" x14ac:dyDescent="0.25">
      <c r="A297" s="17" t="s">
        <v>2</v>
      </c>
      <c r="B297" s="17"/>
      <c r="C297" s="17"/>
      <c r="D297" s="17"/>
      <c r="E297" s="17"/>
      <c r="F297" s="17"/>
      <c r="G297" s="12"/>
      <c r="H297" s="12"/>
      <c r="I297" s="1"/>
    </row>
    <row r="298" spans="1:9" x14ac:dyDescent="0.2">
      <c r="A298" s="18" t="s">
        <v>384</v>
      </c>
      <c r="B298" s="19"/>
      <c r="C298" s="19"/>
      <c r="D298" s="19"/>
      <c r="E298" s="19"/>
      <c r="F298" s="19"/>
      <c r="G298" s="19"/>
      <c r="H298" s="19"/>
      <c r="I298" s="19"/>
    </row>
    <row r="299" spans="1:9" ht="40.5" customHeight="1" x14ac:dyDescent="0.2">
      <c r="A299" s="2" t="s">
        <v>3</v>
      </c>
      <c r="B299" s="2" t="s">
        <v>4</v>
      </c>
      <c r="C299" s="2" t="s">
        <v>5</v>
      </c>
      <c r="D299" s="2" t="s">
        <v>6</v>
      </c>
      <c r="E299" s="2" t="s">
        <v>7</v>
      </c>
      <c r="F299" s="2" t="s">
        <v>8</v>
      </c>
      <c r="G299" s="2" t="s">
        <v>9</v>
      </c>
      <c r="H299" s="14" t="s">
        <v>11</v>
      </c>
      <c r="I299" s="15" t="s">
        <v>10</v>
      </c>
    </row>
    <row r="300" spans="1:9" ht="16.5" customHeight="1" x14ac:dyDescent="0.25">
      <c r="A300" s="16">
        <v>1</v>
      </c>
      <c r="B300" s="16" t="str">
        <f>TEXT("004567","000000")</f>
        <v>004567</v>
      </c>
      <c r="C300" s="16" t="s">
        <v>274</v>
      </c>
      <c r="D300" s="16" t="str">
        <f>TEXT("05/07/2007","dd/mm/yyyy")</f>
        <v>05/07/2007</v>
      </c>
      <c r="E300" s="16" t="s">
        <v>20</v>
      </c>
      <c r="F300" s="16" t="s">
        <v>14</v>
      </c>
      <c r="G300" s="16">
        <v>18.850000000000001</v>
      </c>
      <c r="H300" s="7" t="s">
        <v>261</v>
      </c>
      <c r="I300" s="11"/>
    </row>
    <row r="301" spans="1:9" ht="16.5" customHeight="1" x14ac:dyDescent="0.25">
      <c r="A301" s="16">
        <v>2</v>
      </c>
      <c r="B301" s="16" t="str">
        <f>TEXT("004676","000000")</f>
        <v>004676</v>
      </c>
      <c r="C301" s="16" t="s">
        <v>104</v>
      </c>
      <c r="D301" s="16" t="str">
        <f>TEXT("17/10/2007","dd/mm/yyyy")</f>
        <v>17/10/2007</v>
      </c>
      <c r="E301" s="16" t="s">
        <v>13</v>
      </c>
      <c r="F301" s="16" t="s">
        <v>14</v>
      </c>
      <c r="G301" s="16">
        <v>19.600000000000001</v>
      </c>
      <c r="H301" s="7" t="s">
        <v>261</v>
      </c>
      <c r="I301" s="11"/>
    </row>
    <row r="302" spans="1:9" ht="16.5" customHeight="1" x14ac:dyDescent="0.25">
      <c r="A302" s="16">
        <v>3</v>
      </c>
      <c r="B302" s="16" t="str">
        <f>TEXT("005063","000000")</f>
        <v>005063</v>
      </c>
      <c r="C302" s="16" t="s">
        <v>275</v>
      </c>
      <c r="D302" s="16" t="str">
        <f>TEXT("31/12/2007","dd/mm/yyyy")</f>
        <v>31/12/2007</v>
      </c>
      <c r="E302" s="16" t="s">
        <v>20</v>
      </c>
      <c r="F302" s="16" t="s">
        <v>14</v>
      </c>
      <c r="G302" s="16">
        <v>18.5</v>
      </c>
      <c r="H302" s="7" t="s">
        <v>261</v>
      </c>
      <c r="I302" s="11"/>
    </row>
    <row r="303" spans="1:9" ht="16.5" customHeight="1" x14ac:dyDescent="0.25">
      <c r="A303" s="16">
        <v>4</v>
      </c>
      <c r="B303" s="16" t="str">
        <f>TEXT("005140","000000")</f>
        <v>005140</v>
      </c>
      <c r="C303" s="16" t="s">
        <v>276</v>
      </c>
      <c r="D303" s="16" t="str">
        <f>TEXT("24/03/2007","dd/mm/yyyy")</f>
        <v>24/03/2007</v>
      </c>
      <c r="E303" s="16" t="s">
        <v>20</v>
      </c>
      <c r="F303" s="16" t="s">
        <v>14</v>
      </c>
      <c r="G303" s="16">
        <v>18.05</v>
      </c>
      <c r="H303" s="7" t="s">
        <v>261</v>
      </c>
      <c r="I303" s="11"/>
    </row>
    <row r="304" spans="1:9" ht="16.5" customHeight="1" x14ac:dyDescent="0.25">
      <c r="A304" s="16">
        <v>5</v>
      </c>
      <c r="B304" s="16" t="str">
        <f>TEXT("005159","000000")</f>
        <v>005159</v>
      </c>
      <c r="C304" s="16" t="s">
        <v>277</v>
      </c>
      <c r="D304" s="16" t="str">
        <f>TEXT("13/06/2007","dd/mm/yyyy")</f>
        <v>13/06/2007</v>
      </c>
      <c r="E304" s="16" t="s">
        <v>20</v>
      </c>
      <c r="F304" s="16" t="s">
        <v>14</v>
      </c>
      <c r="G304" s="16">
        <v>20.5</v>
      </c>
      <c r="H304" s="7" t="s">
        <v>261</v>
      </c>
      <c r="I304" s="11"/>
    </row>
    <row r="305" spans="1:9" ht="16.5" customHeight="1" x14ac:dyDescent="0.25">
      <c r="A305" s="16">
        <v>6</v>
      </c>
      <c r="B305" s="16" t="str">
        <f>TEXT("005403","000000")</f>
        <v>005403</v>
      </c>
      <c r="C305" s="16" t="s">
        <v>278</v>
      </c>
      <c r="D305" s="16" t="str">
        <f>TEXT("25/06/2007","dd/mm/yyyy")</f>
        <v>25/06/2007</v>
      </c>
      <c r="E305" s="16" t="s">
        <v>13</v>
      </c>
      <c r="F305" s="16" t="s">
        <v>14</v>
      </c>
      <c r="G305" s="16">
        <v>16.8</v>
      </c>
      <c r="H305" s="7" t="s">
        <v>261</v>
      </c>
      <c r="I305" s="11"/>
    </row>
    <row r="306" spans="1:9" ht="16.5" customHeight="1" x14ac:dyDescent="0.25">
      <c r="A306" s="16">
        <v>7</v>
      </c>
      <c r="B306" s="16" t="str">
        <f>TEXT("005850","000000")</f>
        <v>005850</v>
      </c>
      <c r="C306" s="16" t="s">
        <v>279</v>
      </c>
      <c r="D306" s="16" t="str">
        <f>TEXT("20/01/2007","dd/mm/yyyy")</f>
        <v>20/01/2007</v>
      </c>
      <c r="E306" s="16" t="s">
        <v>20</v>
      </c>
      <c r="F306" s="16" t="s">
        <v>14</v>
      </c>
      <c r="G306" s="16">
        <v>16.149999999999999</v>
      </c>
      <c r="H306" s="7" t="s">
        <v>261</v>
      </c>
      <c r="I306" s="11"/>
    </row>
    <row r="307" spans="1:9" ht="16.5" customHeight="1" x14ac:dyDescent="0.25">
      <c r="A307" s="16">
        <v>8</v>
      </c>
      <c r="B307" s="16" t="str">
        <f>TEXT("006054","000000")</f>
        <v>006054</v>
      </c>
      <c r="C307" s="16" t="s">
        <v>280</v>
      </c>
      <c r="D307" s="16" t="str">
        <f>TEXT("24/12/2007","dd/mm/yyyy")</f>
        <v>24/12/2007</v>
      </c>
      <c r="E307" s="16" t="s">
        <v>20</v>
      </c>
      <c r="F307" s="16" t="s">
        <v>14</v>
      </c>
      <c r="G307" s="16">
        <v>17.25</v>
      </c>
      <c r="H307" s="7" t="s">
        <v>261</v>
      </c>
      <c r="I307" s="11"/>
    </row>
    <row r="308" spans="1:9" ht="16.5" customHeight="1" x14ac:dyDescent="0.25">
      <c r="A308" s="16">
        <v>9</v>
      </c>
      <c r="B308" s="16" t="str">
        <f>TEXT("006434","000000")</f>
        <v>006434</v>
      </c>
      <c r="C308" s="16" t="s">
        <v>281</v>
      </c>
      <c r="D308" s="16" t="str">
        <f>TEXT("12/10/2007","dd/mm/yyyy")</f>
        <v>12/10/2007</v>
      </c>
      <c r="E308" s="16" t="s">
        <v>13</v>
      </c>
      <c r="F308" s="16" t="s">
        <v>14</v>
      </c>
      <c r="G308" s="16">
        <v>20.6</v>
      </c>
      <c r="H308" s="7" t="s">
        <v>261</v>
      </c>
      <c r="I308" s="11"/>
    </row>
    <row r="309" spans="1:9" ht="16.5" customHeight="1" x14ac:dyDescent="0.25">
      <c r="A309" s="16">
        <v>10</v>
      </c>
      <c r="B309" s="16" t="str">
        <f>TEXT("006599","000000")</f>
        <v>006599</v>
      </c>
      <c r="C309" s="16" t="s">
        <v>282</v>
      </c>
      <c r="D309" s="16" t="str">
        <f>TEXT("14/09/2007","dd/mm/yyyy")</f>
        <v>14/09/2007</v>
      </c>
      <c r="E309" s="16" t="s">
        <v>20</v>
      </c>
      <c r="F309" s="16" t="s">
        <v>14</v>
      </c>
      <c r="G309" s="16">
        <v>16.45</v>
      </c>
      <c r="H309" s="7" t="s">
        <v>261</v>
      </c>
      <c r="I309" s="11"/>
    </row>
    <row r="310" spans="1:9" ht="16.5" customHeight="1" x14ac:dyDescent="0.25">
      <c r="A310" s="16">
        <v>11</v>
      </c>
      <c r="B310" s="16" t="str">
        <f>TEXT("006721","000000")</f>
        <v>006721</v>
      </c>
      <c r="C310" s="16" t="s">
        <v>283</v>
      </c>
      <c r="D310" s="16" t="str">
        <f>TEXT("19/05/2007","dd/mm/yyyy")</f>
        <v>19/05/2007</v>
      </c>
      <c r="E310" s="16" t="s">
        <v>20</v>
      </c>
      <c r="F310" s="16" t="s">
        <v>14</v>
      </c>
      <c r="G310" s="16">
        <v>20.55</v>
      </c>
      <c r="H310" s="7" t="s">
        <v>261</v>
      </c>
      <c r="I310" s="11"/>
    </row>
    <row r="311" spans="1:9" ht="16.5" customHeight="1" x14ac:dyDescent="0.25">
      <c r="A311" s="16">
        <v>12</v>
      </c>
      <c r="B311" s="16" t="str">
        <f>TEXT("006796","000000")</f>
        <v>006796</v>
      </c>
      <c r="C311" s="16" t="s">
        <v>284</v>
      </c>
      <c r="D311" s="16" t="str">
        <f>TEXT("30/06/2007","dd/mm/yyyy")</f>
        <v>30/06/2007</v>
      </c>
      <c r="E311" s="16" t="s">
        <v>13</v>
      </c>
      <c r="F311" s="16" t="s">
        <v>14</v>
      </c>
      <c r="G311" s="16">
        <v>19.600000000000001</v>
      </c>
      <c r="H311" s="7" t="s">
        <v>261</v>
      </c>
      <c r="I311" s="11"/>
    </row>
    <row r="312" spans="1:9" ht="16.5" customHeight="1" x14ac:dyDescent="0.25">
      <c r="A312" s="16">
        <v>13</v>
      </c>
      <c r="B312" s="16" t="str">
        <f>TEXT("007220","000000")</f>
        <v>007220</v>
      </c>
      <c r="C312" s="16" t="s">
        <v>285</v>
      </c>
      <c r="D312" s="16" t="str">
        <f>TEXT("23/11/2007","dd/mm/yyyy")</f>
        <v>23/11/2007</v>
      </c>
      <c r="E312" s="16" t="s">
        <v>13</v>
      </c>
      <c r="F312" s="16" t="s">
        <v>14</v>
      </c>
      <c r="G312" s="16">
        <v>20.25</v>
      </c>
      <c r="H312" s="7" t="s">
        <v>261</v>
      </c>
      <c r="I312" s="11"/>
    </row>
    <row r="313" spans="1:9" ht="16.5" customHeight="1" x14ac:dyDescent="0.25">
      <c r="A313" s="16">
        <v>14</v>
      </c>
      <c r="B313" s="16" t="str">
        <f>TEXT("007411","000000")</f>
        <v>007411</v>
      </c>
      <c r="C313" s="16" t="s">
        <v>286</v>
      </c>
      <c r="D313" s="16" t="str">
        <f>TEXT("10/04/2007","dd/mm/yyyy")</f>
        <v>10/04/2007</v>
      </c>
      <c r="E313" s="16" t="s">
        <v>20</v>
      </c>
      <c r="F313" s="16" t="s">
        <v>14</v>
      </c>
      <c r="G313" s="16">
        <v>20.55</v>
      </c>
      <c r="H313" s="7" t="s">
        <v>261</v>
      </c>
      <c r="I313" s="11"/>
    </row>
    <row r="314" spans="1:9" ht="16.5" customHeight="1" x14ac:dyDescent="0.25">
      <c r="A314" s="16">
        <v>15</v>
      </c>
      <c r="B314" s="16" t="str">
        <f>TEXT("007427","000000")</f>
        <v>007427</v>
      </c>
      <c r="C314" s="16" t="s">
        <v>287</v>
      </c>
      <c r="D314" s="16" t="str">
        <f>TEXT("29/07/2007","dd/mm/yyyy")</f>
        <v>29/07/2007</v>
      </c>
      <c r="E314" s="16" t="s">
        <v>20</v>
      </c>
      <c r="F314" s="16" t="s">
        <v>14</v>
      </c>
      <c r="G314" s="16">
        <v>19.8</v>
      </c>
      <c r="H314" s="7" t="s">
        <v>261</v>
      </c>
      <c r="I314" s="11"/>
    </row>
    <row r="315" spans="1:9" ht="16.5" customHeight="1" x14ac:dyDescent="0.25">
      <c r="A315" s="16">
        <v>16</v>
      </c>
      <c r="B315" s="16" t="str">
        <f>TEXT("007892","000000")</f>
        <v>007892</v>
      </c>
      <c r="C315" s="16" t="s">
        <v>288</v>
      </c>
      <c r="D315" s="16" t="str">
        <f>TEXT("08/04/2007","dd/mm/yyyy")</f>
        <v>08/04/2007</v>
      </c>
      <c r="E315" s="16" t="s">
        <v>20</v>
      </c>
      <c r="F315" s="16" t="s">
        <v>14</v>
      </c>
      <c r="G315" s="16">
        <v>20.55</v>
      </c>
      <c r="H315" s="7" t="s">
        <v>261</v>
      </c>
      <c r="I315" s="11"/>
    </row>
    <row r="316" spans="1:9" ht="16.5" customHeight="1" x14ac:dyDescent="0.25">
      <c r="A316" s="16">
        <v>17</v>
      </c>
      <c r="B316" s="16" t="str">
        <f>TEXT("008202","000000")</f>
        <v>008202</v>
      </c>
      <c r="C316" s="16" t="s">
        <v>289</v>
      </c>
      <c r="D316" s="16" t="str">
        <f>TEXT("28/11/2007","dd/mm/yyyy")</f>
        <v>28/11/2007</v>
      </c>
      <c r="E316" s="16" t="s">
        <v>20</v>
      </c>
      <c r="F316" s="16" t="s">
        <v>14</v>
      </c>
      <c r="G316" s="16">
        <v>17.75</v>
      </c>
      <c r="H316" s="7" t="s">
        <v>261</v>
      </c>
      <c r="I316" s="11"/>
    </row>
    <row r="317" spans="1:9" ht="16.5" customHeight="1" x14ac:dyDescent="0.25">
      <c r="A317" s="16">
        <v>18</v>
      </c>
      <c r="B317" s="16" t="str">
        <f>TEXT("008624","000000")</f>
        <v>008624</v>
      </c>
      <c r="C317" s="16" t="s">
        <v>290</v>
      </c>
      <c r="D317" s="16" t="str">
        <f>TEXT("24/07/2007","dd/mm/yyyy")</f>
        <v>24/07/2007</v>
      </c>
      <c r="E317" s="16" t="s">
        <v>13</v>
      </c>
      <c r="F317" s="16" t="s">
        <v>14</v>
      </c>
      <c r="G317" s="16">
        <v>17.100000000000001</v>
      </c>
      <c r="H317" s="7" t="s">
        <v>261</v>
      </c>
      <c r="I317" s="11"/>
    </row>
    <row r="318" spans="1:9" ht="16.5" customHeight="1" x14ac:dyDescent="0.25">
      <c r="A318" s="16">
        <v>19</v>
      </c>
      <c r="B318" s="16" t="str">
        <f>TEXT("009352","000000")</f>
        <v>009352</v>
      </c>
      <c r="C318" s="16" t="s">
        <v>291</v>
      </c>
      <c r="D318" s="16" t="str">
        <f>TEXT("28/10/2007","dd/mm/yyyy")</f>
        <v>28/10/2007</v>
      </c>
      <c r="E318" s="16" t="s">
        <v>20</v>
      </c>
      <c r="F318" s="16" t="s">
        <v>14</v>
      </c>
      <c r="G318" s="16">
        <v>21.5</v>
      </c>
      <c r="H318" s="7" t="s">
        <v>261</v>
      </c>
      <c r="I318" s="11"/>
    </row>
    <row r="319" spans="1:9" ht="16.5" customHeight="1" x14ac:dyDescent="0.25">
      <c r="A319" s="16">
        <v>20</v>
      </c>
      <c r="B319" s="16" t="str">
        <f>TEXT("010541","000000")</f>
        <v>010541</v>
      </c>
      <c r="C319" s="16" t="s">
        <v>292</v>
      </c>
      <c r="D319" s="16" t="str">
        <f>TEXT("14/01/2007","dd/mm/yyyy")</f>
        <v>14/01/2007</v>
      </c>
      <c r="E319" s="16" t="s">
        <v>20</v>
      </c>
      <c r="F319" s="16" t="s">
        <v>14</v>
      </c>
      <c r="G319" s="16">
        <v>19.100000000000001</v>
      </c>
      <c r="H319" s="7" t="s">
        <v>261</v>
      </c>
      <c r="I319" s="11"/>
    </row>
    <row r="320" spans="1:9" ht="16.5" customHeight="1" x14ac:dyDescent="0.25">
      <c r="A320" s="16">
        <v>21</v>
      </c>
      <c r="B320" s="16" t="str">
        <f>TEXT("010964","000000")</f>
        <v>010964</v>
      </c>
      <c r="C320" s="16" t="s">
        <v>293</v>
      </c>
      <c r="D320" s="16" t="str">
        <f>TEXT("07/05/2007","dd/mm/yyyy")</f>
        <v>07/05/2007</v>
      </c>
      <c r="E320" s="16" t="s">
        <v>13</v>
      </c>
      <c r="F320" s="16" t="s">
        <v>14</v>
      </c>
      <c r="G320" s="16">
        <v>24.95</v>
      </c>
      <c r="H320" s="7" t="s">
        <v>261</v>
      </c>
      <c r="I320" s="11"/>
    </row>
    <row r="321" spans="1:9" ht="16.5" customHeight="1" x14ac:dyDescent="0.25">
      <c r="A321" s="16">
        <v>22</v>
      </c>
      <c r="B321" s="16" t="str">
        <f>TEXT("011106","000000")</f>
        <v>011106</v>
      </c>
      <c r="C321" s="16" t="s">
        <v>294</v>
      </c>
      <c r="D321" s="16" t="str">
        <f>TEXT("12/03/2007","dd/mm/yyyy")</f>
        <v>12/03/2007</v>
      </c>
      <c r="E321" s="16" t="s">
        <v>20</v>
      </c>
      <c r="F321" s="16" t="s">
        <v>14</v>
      </c>
      <c r="G321" s="16">
        <v>20.3</v>
      </c>
      <c r="H321" s="7" t="s">
        <v>261</v>
      </c>
      <c r="I321" s="11"/>
    </row>
    <row r="322" spans="1:9" ht="16.5" customHeight="1" x14ac:dyDescent="0.25">
      <c r="A322" s="16">
        <v>23</v>
      </c>
      <c r="B322" s="16" t="str">
        <f>TEXT("011159","000000")</f>
        <v>011159</v>
      </c>
      <c r="C322" s="16" t="s">
        <v>295</v>
      </c>
      <c r="D322" s="16" t="str">
        <f>TEXT("26/04/2007","dd/mm/yyyy")</f>
        <v>26/04/2007</v>
      </c>
      <c r="E322" s="16" t="s">
        <v>13</v>
      </c>
      <c r="F322" s="16" t="s">
        <v>14</v>
      </c>
      <c r="G322" s="16">
        <v>24.6</v>
      </c>
      <c r="H322" s="7" t="s">
        <v>261</v>
      </c>
      <c r="I322" s="11"/>
    </row>
    <row r="323" spans="1:9" ht="16.5" customHeight="1" x14ac:dyDescent="0.25">
      <c r="A323" s="16">
        <v>24</v>
      </c>
      <c r="B323" s="16" t="str">
        <f>TEXT("013083","000000")</f>
        <v>013083</v>
      </c>
      <c r="C323" s="16" t="s">
        <v>296</v>
      </c>
      <c r="D323" s="16" t="str">
        <f>TEXT("11/03/2007","dd/mm/yyyy")</f>
        <v>11/03/2007</v>
      </c>
      <c r="E323" s="16" t="s">
        <v>20</v>
      </c>
      <c r="F323" s="16" t="s">
        <v>14</v>
      </c>
      <c r="G323" s="16">
        <v>19.8</v>
      </c>
      <c r="H323" s="7" t="s">
        <v>261</v>
      </c>
      <c r="I323" s="11"/>
    </row>
    <row r="324" spans="1:9" ht="16.5" customHeight="1" x14ac:dyDescent="0.25">
      <c r="A324" s="16">
        <v>25</v>
      </c>
      <c r="B324" s="16" t="str">
        <f>TEXT("013287","000000")</f>
        <v>013287</v>
      </c>
      <c r="C324" s="16" t="s">
        <v>297</v>
      </c>
      <c r="D324" s="16" t="str">
        <f>TEXT("29/09/2007","dd/mm/yyyy")</f>
        <v>29/09/2007</v>
      </c>
      <c r="E324" s="16" t="s">
        <v>20</v>
      </c>
      <c r="F324" s="16" t="s">
        <v>14</v>
      </c>
      <c r="G324" s="16">
        <v>18.5</v>
      </c>
      <c r="H324" s="7" t="s">
        <v>261</v>
      </c>
      <c r="I324" s="11"/>
    </row>
    <row r="325" spans="1:9" ht="16.5" customHeight="1" x14ac:dyDescent="0.25">
      <c r="A325" s="16">
        <v>26</v>
      </c>
      <c r="B325" s="16" t="str">
        <f>TEXT("013609","000000")</f>
        <v>013609</v>
      </c>
      <c r="C325" s="16" t="s">
        <v>298</v>
      </c>
      <c r="D325" s="16" t="str">
        <f>TEXT("24/09/2007","dd/mm/yyyy")</f>
        <v>24/09/2007</v>
      </c>
      <c r="E325" s="16" t="s">
        <v>13</v>
      </c>
      <c r="F325" s="16" t="s">
        <v>14</v>
      </c>
      <c r="G325" s="16">
        <v>25.8</v>
      </c>
      <c r="H325" s="7" t="s">
        <v>261</v>
      </c>
      <c r="I325" s="11"/>
    </row>
    <row r="326" spans="1:9" ht="16.5" customHeight="1" x14ac:dyDescent="0.25">
      <c r="A326" s="16">
        <v>27</v>
      </c>
      <c r="B326" s="16" t="str">
        <f>TEXT("013745","000000")</f>
        <v>013745</v>
      </c>
      <c r="C326" s="16" t="s">
        <v>110</v>
      </c>
      <c r="D326" s="16" t="str">
        <f>TEXT("20/08/2007","dd/mm/yyyy")</f>
        <v>20/08/2007</v>
      </c>
      <c r="E326" s="16" t="s">
        <v>13</v>
      </c>
      <c r="F326" s="16" t="s">
        <v>14</v>
      </c>
      <c r="G326" s="16">
        <v>17.5</v>
      </c>
      <c r="H326" s="7" t="s">
        <v>261</v>
      </c>
      <c r="I326" s="11"/>
    </row>
    <row r="327" spans="1:9" ht="16.5" customHeight="1" x14ac:dyDescent="0.25">
      <c r="A327" s="16">
        <v>28</v>
      </c>
      <c r="B327" s="16" t="str">
        <f>TEXT("013813","000000")</f>
        <v>013813</v>
      </c>
      <c r="C327" s="16" t="s">
        <v>299</v>
      </c>
      <c r="D327" s="16" t="str">
        <f>TEXT("15/10/2007","dd/mm/yyyy")</f>
        <v>15/10/2007</v>
      </c>
      <c r="E327" s="16" t="s">
        <v>13</v>
      </c>
      <c r="F327" s="16" t="s">
        <v>14</v>
      </c>
      <c r="G327" s="16">
        <v>17.850000000000001</v>
      </c>
      <c r="H327" s="7" t="s">
        <v>261</v>
      </c>
      <c r="I327" s="11"/>
    </row>
    <row r="328" spans="1:9" ht="16.5" customHeight="1" x14ac:dyDescent="0.25">
      <c r="A328" s="16">
        <v>29</v>
      </c>
      <c r="B328" s="16" t="str">
        <f>TEXT("013863","000000")</f>
        <v>013863</v>
      </c>
      <c r="C328" s="16" t="s">
        <v>300</v>
      </c>
      <c r="D328" s="16" t="str">
        <f>TEXT("06/09/2007","dd/mm/yyyy")</f>
        <v>06/09/2007</v>
      </c>
      <c r="E328" s="16" t="s">
        <v>13</v>
      </c>
      <c r="F328" s="16" t="s">
        <v>14</v>
      </c>
      <c r="G328" s="16">
        <v>18.7</v>
      </c>
      <c r="H328" s="7" t="s">
        <v>261</v>
      </c>
      <c r="I328" s="11"/>
    </row>
    <row r="329" spans="1:9" ht="16.5" customHeight="1" x14ac:dyDescent="0.25">
      <c r="A329" s="16">
        <v>30</v>
      </c>
      <c r="B329" s="16" t="str">
        <f>TEXT("014737","000000")</f>
        <v>014737</v>
      </c>
      <c r="C329" s="16" t="s">
        <v>301</v>
      </c>
      <c r="D329" s="16" t="str">
        <f>TEXT("08/07/2007","dd/mm/yyyy")</f>
        <v>08/07/2007</v>
      </c>
      <c r="E329" s="16" t="s">
        <v>20</v>
      </c>
      <c r="F329" s="16" t="s">
        <v>14</v>
      </c>
      <c r="G329" s="16">
        <v>17.2</v>
      </c>
      <c r="H329" s="7" t="s">
        <v>261</v>
      </c>
      <c r="I329" s="11"/>
    </row>
    <row r="330" spans="1:9" ht="16.5" customHeight="1" x14ac:dyDescent="0.25">
      <c r="A330" s="16">
        <v>31</v>
      </c>
      <c r="B330" s="16" t="str">
        <f>TEXT("014809","000000")</f>
        <v>014809</v>
      </c>
      <c r="C330" s="16" t="s">
        <v>302</v>
      </c>
      <c r="D330" s="16" t="str">
        <f>TEXT("28/11/2007","dd/mm/yyyy")</f>
        <v>28/11/2007</v>
      </c>
      <c r="E330" s="16" t="s">
        <v>20</v>
      </c>
      <c r="F330" s="16" t="s">
        <v>14</v>
      </c>
      <c r="G330" s="16">
        <v>22.4</v>
      </c>
      <c r="H330" s="7" t="s">
        <v>261</v>
      </c>
      <c r="I330" s="11"/>
    </row>
    <row r="331" spans="1:9" ht="16.5" customHeight="1" x14ac:dyDescent="0.25">
      <c r="A331" s="16">
        <v>32</v>
      </c>
      <c r="B331" s="16" t="str">
        <f>TEXT("014885","000000")</f>
        <v>014885</v>
      </c>
      <c r="C331" s="16" t="s">
        <v>303</v>
      </c>
      <c r="D331" s="16" t="str">
        <f>TEXT("19/11/2007","dd/mm/yyyy")</f>
        <v>19/11/2007</v>
      </c>
      <c r="E331" s="16" t="s">
        <v>20</v>
      </c>
      <c r="F331" s="16" t="s">
        <v>14</v>
      </c>
      <c r="G331" s="16">
        <v>19.399999999999999</v>
      </c>
      <c r="H331" s="7" t="s">
        <v>261</v>
      </c>
      <c r="I331" s="11"/>
    </row>
    <row r="332" spans="1:9" ht="16.5" customHeight="1" x14ac:dyDescent="0.25">
      <c r="A332" s="16">
        <v>33</v>
      </c>
      <c r="B332" s="16" t="str">
        <f>TEXT("015169","000000")</f>
        <v>015169</v>
      </c>
      <c r="C332" s="16" t="s">
        <v>304</v>
      </c>
      <c r="D332" s="16" t="str">
        <f>TEXT("09/07/2007","dd/mm/yyyy")</f>
        <v>09/07/2007</v>
      </c>
      <c r="E332" s="16" t="s">
        <v>13</v>
      </c>
      <c r="F332" s="16" t="s">
        <v>14</v>
      </c>
      <c r="G332" s="16">
        <v>17.399999999999999</v>
      </c>
      <c r="H332" s="7" t="s">
        <v>261</v>
      </c>
      <c r="I332" s="11"/>
    </row>
    <row r="333" spans="1:9" ht="16.5" customHeight="1" x14ac:dyDescent="0.25">
      <c r="A333" s="16">
        <v>34</v>
      </c>
      <c r="B333" s="16" t="str">
        <f>TEXT("015245","000000")</f>
        <v>015245</v>
      </c>
      <c r="C333" s="16" t="s">
        <v>305</v>
      </c>
      <c r="D333" s="16" t="str">
        <f>TEXT("26/05/2007","dd/mm/yyyy")</f>
        <v>26/05/2007</v>
      </c>
      <c r="E333" s="16" t="s">
        <v>13</v>
      </c>
      <c r="F333" s="16" t="s">
        <v>14</v>
      </c>
      <c r="G333" s="16">
        <v>26.9</v>
      </c>
      <c r="H333" s="7" t="s">
        <v>261</v>
      </c>
      <c r="I333" s="11"/>
    </row>
    <row r="334" spans="1:9" ht="16.5" customHeight="1" x14ac:dyDescent="0.25">
      <c r="A334" s="16">
        <v>35</v>
      </c>
      <c r="B334" s="16" t="str">
        <f>TEXT("015571","000000")</f>
        <v>015571</v>
      </c>
      <c r="C334" s="16" t="s">
        <v>306</v>
      </c>
      <c r="D334" s="16" t="str">
        <f>TEXT("06/06/2007","dd/mm/yyyy")</f>
        <v>06/06/2007</v>
      </c>
      <c r="E334" s="16" t="s">
        <v>20</v>
      </c>
      <c r="F334" s="16" t="s">
        <v>14</v>
      </c>
      <c r="G334" s="16">
        <v>18.149999999999999</v>
      </c>
      <c r="H334" s="7" t="s">
        <v>261</v>
      </c>
      <c r="I334" s="11"/>
    </row>
    <row r="335" spans="1:9" ht="16.5" customHeight="1" x14ac:dyDescent="0.25">
      <c r="A335" s="16">
        <v>36</v>
      </c>
      <c r="B335" s="16" t="str">
        <f>TEXT("015790","000000")</f>
        <v>015790</v>
      </c>
      <c r="C335" s="16" t="s">
        <v>307</v>
      </c>
      <c r="D335" s="16" t="str">
        <f>TEXT("22/09/2007","dd/mm/yyyy")</f>
        <v>22/09/2007</v>
      </c>
      <c r="E335" s="16" t="s">
        <v>20</v>
      </c>
      <c r="F335" s="16" t="s">
        <v>14</v>
      </c>
      <c r="G335" s="16">
        <v>24.7</v>
      </c>
      <c r="H335" s="7" t="s">
        <v>261</v>
      </c>
      <c r="I335" s="11"/>
    </row>
    <row r="336" spans="1:9" ht="16.5" customHeight="1" x14ac:dyDescent="0.25">
      <c r="A336" s="16">
        <v>37</v>
      </c>
      <c r="B336" s="16" t="str">
        <f>TEXT("017193","000000")</f>
        <v>017193</v>
      </c>
      <c r="C336" s="16" t="s">
        <v>252</v>
      </c>
      <c r="D336" s="16" t="str">
        <f>TEXT("16/12/2007","dd/mm/yyyy")</f>
        <v>16/12/2007</v>
      </c>
      <c r="E336" s="16" t="s">
        <v>13</v>
      </c>
      <c r="F336" s="16" t="s">
        <v>14</v>
      </c>
      <c r="G336" s="16">
        <v>16.45</v>
      </c>
      <c r="H336" s="7" t="s">
        <v>261</v>
      </c>
      <c r="I336" s="11"/>
    </row>
    <row r="337" spans="1:9" ht="16.5" customHeight="1" x14ac:dyDescent="0.25">
      <c r="A337" s="16">
        <v>38</v>
      </c>
      <c r="B337" s="16" t="str">
        <f>TEXT("006682","000000")</f>
        <v>006682</v>
      </c>
      <c r="C337" s="16" t="s">
        <v>308</v>
      </c>
      <c r="D337" s="16" t="str">
        <f>TEXT("31/10/2007","dd/mm/yyyy")</f>
        <v>31/10/2007</v>
      </c>
      <c r="E337" s="16" t="s">
        <v>20</v>
      </c>
      <c r="F337" s="16" t="s">
        <v>14</v>
      </c>
      <c r="G337" s="16">
        <v>20.95</v>
      </c>
      <c r="H337" s="7" t="s">
        <v>309</v>
      </c>
      <c r="I337" s="11"/>
    </row>
    <row r="338" spans="1:9" ht="16.5" customHeight="1" x14ac:dyDescent="0.25">
      <c r="A338" s="16">
        <v>39</v>
      </c>
      <c r="B338" s="16" t="str">
        <f>TEXT("010062","000000")</f>
        <v>010062</v>
      </c>
      <c r="C338" s="16" t="s">
        <v>310</v>
      </c>
      <c r="D338" s="16" t="str">
        <f>TEXT("23/12/2007","dd/mm/yyyy")</f>
        <v>23/12/2007</v>
      </c>
      <c r="E338" s="16" t="s">
        <v>20</v>
      </c>
      <c r="F338" s="16" t="s">
        <v>14</v>
      </c>
      <c r="G338" s="16">
        <v>18.649999999999999</v>
      </c>
      <c r="H338" s="7" t="s">
        <v>309</v>
      </c>
      <c r="I338" s="11"/>
    </row>
    <row r="339" spans="1:9" ht="16.5" customHeight="1" x14ac:dyDescent="0.25">
      <c r="A339" s="16">
        <v>40</v>
      </c>
      <c r="B339" s="16" t="str">
        <f>TEXT("017195","000000")</f>
        <v>017195</v>
      </c>
      <c r="C339" s="16" t="s">
        <v>252</v>
      </c>
      <c r="D339" s="16" t="str">
        <f>TEXT("31/1/2007","dd/mm/yyyy")</f>
        <v>31/01/2007</v>
      </c>
      <c r="E339" s="16" t="s">
        <v>13</v>
      </c>
      <c r="F339" s="16" t="s">
        <v>14</v>
      </c>
      <c r="G339" s="16">
        <v>20.25</v>
      </c>
      <c r="H339" s="7" t="s">
        <v>309</v>
      </c>
      <c r="I339" s="11"/>
    </row>
    <row r="340" spans="1:9" ht="16.5" customHeight="1" x14ac:dyDescent="0.25">
      <c r="A340" s="16">
        <v>41</v>
      </c>
      <c r="B340" s="16" t="str">
        <f>TEXT("000079","000000")</f>
        <v>000079</v>
      </c>
      <c r="C340" s="16" t="s">
        <v>329</v>
      </c>
      <c r="D340" s="16" t="str">
        <f>TEXT("27/10/2007","dd/mm/yyyy")</f>
        <v>27/10/2007</v>
      </c>
      <c r="E340" s="16" t="s">
        <v>20</v>
      </c>
      <c r="F340" s="16" t="s">
        <v>14</v>
      </c>
      <c r="G340" s="16">
        <v>17.850000000000001</v>
      </c>
      <c r="H340" s="7" t="s">
        <v>330</v>
      </c>
      <c r="I340" s="11"/>
    </row>
    <row r="341" spans="1:9" ht="16.5" customHeight="1" x14ac:dyDescent="0.25">
      <c r="A341" s="16">
        <v>42</v>
      </c>
      <c r="B341" s="16" t="str">
        <f>TEXT("000434","000000")</f>
        <v>000434</v>
      </c>
      <c r="C341" s="16" t="s">
        <v>331</v>
      </c>
      <c r="D341" s="16" t="str">
        <f>TEXT("01/10/2007","dd/mm/yyyy")</f>
        <v>01/10/2007</v>
      </c>
      <c r="E341" s="16" t="s">
        <v>13</v>
      </c>
      <c r="F341" s="16" t="s">
        <v>14</v>
      </c>
      <c r="G341" s="16">
        <v>18.05</v>
      </c>
      <c r="H341" s="7" t="s">
        <v>330</v>
      </c>
      <c r="I341" s="11"/>
    </row>
    <row r="342" spans="1:9" ht="16.5" customHeight="1" x14ac:dyDescent="0.25">
      <c r="A342" s="16">
        <v>43</v>
      </c>
      <c r="B342" s="16" t="str">
        <f>TEXT("001345","000000")</f>
        <v>001345</v>
      </c>
      <c r="C342" s="16" t="s">
        <v>332</v>
      </c>
      <c r="D342" s="16" t="str">
        <f>TEXT("03/12/2007","dd/mm/yyyy")</f>
        <v>03/12/2007</v>
      </c>
      <c r="E342" s="16" t="s">
        <v>13</v>
      </c>
      <c r="F342" s="16" t="s">
        <v>14</v>
      </c>
      <c r="G342" s="16">
        <v>17.55</v>
      </c>
      <c r="H342" s="7" t="s">
        <v>330</v>
      </c>
      <c r="I342" s="11"/>
    </row>
    <row r="343" spans="1:9" ht="16.5" customHeight="1" x14ac:dyDescent="0.25">
      <c r="A343" s="16">
        <v>44</v>
      </c>
      <c r="B343" s="16" t="str">
        <f>TEXT("002715","000000")</f>
        <v>002715</v>
      </c>
      <c r="C343" s="16" t="s">
        <v>333</v>
      </c>
      <c r="D343" s="16" t="str">
        <f>TEXT("14/10/2007","dd/mm/yyyy")</f>
        <v>14/10/2007</v>
      </c>
      <c r="E343" s="16" t="s">
        <v>13</v>
      </c>
      <c r="F343" s="16" t="s">
        <v>14</v>
      </c>
      <c r="G343" s="16">
        <v>20.6</v>
      </c>
      <c r="H343" s="7" t="s">
        <v>330</v>
      </c>
      <c r="I343" s="11"/>
    </row>
    <row r="344" spans="1:9" ht="15" x14ac:dyDescent="0.25">
      <c r="A344" s="17" t="s">
        <v>0</v>
      </c>
      <c r="B344" s="17"/>
      <c r="C344" s="17"/>
      <c r="D344" s="17"/>
      <c r="E344" s="17"/>
      <c r="F344" s="17"/>
      <c r="G344" s="12"/>
      <c r="H344" s="12"/>
      <c r="I344" s="1"/>
    </row>
    <row r="345" spans="1:9" ht="15" x14ac:dyDescent="0.25">
      <c r="A345" s="17" t="s">
        <v>1</v>
      </c>
      <c r="B345" s="17"/>
      <c r="C345" s="17"/>
      <c r="D345" s="17"/>
      <c r="E345" s="17"/>
      <c r="F345" s="17"/>
      <c r="G345" s="17"/>
      <c r="H345" s="17"/>
      <c r="I345" s="1"/>
    </row>
    <row r="346" spans="1:9" ht="15" x14ac:dyDescent="0.25">
      <c r="A346" s="17" t="s">
        <v>2</v>
      </c>
      <c r="B346" s="17"/>
      <c r="C346" s="17"/>
      <c r="D346" s="17"/>
      <c r="E346" s="17"/>
      <c r="F346" s="17"/>
      <c r="G346" s="12"/>
      <c r="H346" s="12"/>
      <c r="I346" s="1"/>
    </row>
    <row r="347" spans="1:9" x14ac:dyDescent="0.2">
      <c r="A347" s="18" t="s">
        <v>384</v>
      </c>
      <c r="B347" s="19"/>
      <c r="C347" s="19"/>
      <c r="D347" s="19"/>
      <c r="E347" s="19"/>
      <c r="F347" s="19"/>
      <c r="G347" s="19"/>
      <c r="H347" s="19"/>
      <c r="I347" s="19"/>
    </row>
    <row r="348" spans="1:9" ht="40.5" customHeight="1" x14ac:dyDescent="0.2">
      <c r="A348" s="2" t="s">
        <v>3</v>
      </c>
      <c r="B348" s="2" t="s">
        <v>4</v>
      </c>
      <c r="C348" s="2" t="s">
        <v>5</v>
      </c>
      <c r="D348" s="2" t="s">
        <v>6</v>
      </c>
      <c r="E348" s="2" t="s">
        <v>7</v>
      </c>
      <c r="F348" s="2" t="s">
        <v>8</v>
      </c>
      <c r="G348" s="2" t="s">
        <v>9</v>
      </c>
      <c r="H348" s="14" t="s">
        <v>11</v>
      </c>
      <c r="I348" s="15" t="s">
        <v>10</v>
      </c>
    </row>
    <row r="349" spans="1:9" ht="16.5" customHeight="1" x14ac:dyDescent="0.25">
      <c r="A349" s="16">
        <v>1</v>
      </c>
      <c r="B349" s="16" t="str">
        <f>TEXT("002876","000000")</f>
        <v>002876</v>
      </c>
      <c r="C349" s="16" t="s">
        <v>334</v>
      </c>
      <c r="D349" s="16" t="str">
        <f>TEXT("13/09/2007","dd/mm/yyyy")</f>
        <v>13/09/2007</v>
      </c>
      <c r="E349" s="16" t="s">
        <v>13</v>
      </c>
      <c r="F349" s="16" t="s">
        <v>14</v>
      </c>
      <c r="G349" s="16">
        <v>20.8</v>
      </c>
      <c r="H349" s="7" t="s">
        <v>330</v>
      </c>
      <c r="I349" s="11"/>
    </row>
    <row r="350" spans="1:9" ht="16.5" customHeight="1" x14ac:dyDescent="0.25">
      <c r="A350" s="16">
        <v>2</v>
      </c>
      <c r="B350" s="16" t="str">
        <f>TEXT("002897","000000")</f>
        <v>002897</v>
      </c>
      <c r="C350" s="16" t="s">
        <v>335</v>
      </c>
      <c r="D350" s="16" t="str">
        <f>TEXT("23/11/2007","dd/mm/yyyy")</f>
        <v>23/11/2007</v>
      </c>
      <c r="E350" s="16" t="s">
        <v>13</v>
      </c>
      <c r="F350" s="16" t="s">
        <v>14</v>
      </c>
      <c r="G350" s="16">
        <v>17.600000000000001</v>
      </c>
      <c r="H350" s="7" t="s">
        <v>330</v>
      </c>
      <c r="I350" s="11"/>
    </row>
    <row r="351" spans="1:9" ht="16.5" customHeight="1" x14ac:dyDescent="0.25">
      <c r="A351" s="16">
        <v>3</v>
      </c>
      <c r="B351" s="16" t="str">
        <f>TEXT("003597","000000")</f>
        <v>003597</v>
      </c>
      <c r="C351" s="16" t="s">
        <v>336</v>
      </c>
      <c r="D351" s="16" t="str">
        <f>TEXT("12/11/2007","dd/mm/yyyy")</f>
        <v>12/11/2007</v>
      </c>
      <c r="E351" s="16" t="s">
        <v>13</v>
      </c>
      <c r="F351" s="16" t="s">
        <v>14</v>
      </c>
      <c r="G351" s="16">
        <v>18.899999999999999</v>
      </c>
      <c r="H351" s="7" t="s">
        <v>330</v>
      </c>
      <c r="I351" s="11"/>
    </row>
    <row r="352" spans="1:9" ht="16.5" customHeight="1" x14ac:dyDescent="0.25">
      <c r="A352" s="16">
        <v>4</v>
      </c>
      <c r="B352" s="16" t="str">
        <f>TEXT("003741","000000")</f>
        <v>003741</v>
      </c>
      <c r="C352" s="16" t="s">
        <v>337</v>
      </c>
      <c r="D352" s="16" t="str">
        <f>TEXT("21/02/2007","dd/mm/yyyy")</f>
        <v>21/02/2007</v>
      </c>
      <c r="E352" s="16" t="s">
        <v>20</v>
      </c>
      <c r="F352" s="16" t="s">
        <v>14</v>
      </c>
      <c r="G352" s="16">
        <v>21.85</v>
      </c>
      <c r="H352" s="7" t="s">
        <v>330</v>
      </c>
      <c r="I352" s="11"/>
    </row>
    <row r="353" spans="1:9" ht="16.5" customHeight="1" x14ac:dyDescent="0.25">
      <c r="A353" s="16">
        <v>5</v>
      </c>
      <c r="B353" s="16" t="str">
        <f>TEXT("003987","000000")</f>
        <v>003987</v>
      </c>
      <c r="C353" s="16" t="s">
        <v>338</v>
      </c>
      <c r="D353" s="16" t="str">
        <f>TEXT("05/02/2007","dd/mm/yyyy")</f>
        <v>05/02/2007</v>
      </c>
      <c r="E353" s="16" t="s">
        <v>20</v>
      </c>
      <c r="F353" s="16" t="s">
        <v>14</v>
      </c>
      <c r="G353" s="16">
        <v>20.55</v>
      </c>
      <c r="H353" s="7" t="s">
        <v>330</v>
      </c>
      <c r="I353" s="11"/>
    </row>
    <row r="354" spans="1:9" ht="16.5" customHeight="1" x14ac:dyDescent="0.25">
      <c r="A354" s="16">
        <v>6</v>
      </c>
      <c r="B354" s="16" t="str">
        <f>TEXT("005495","000000")</f>
        <v>005495</v>
      </c>
      <c r="C354" s="16" t="s">
        <v>339</v>
      </c>
      <c r="D354" s="16" t="str">
        <f>TEXT("07/02/2007","dd/mm/yyyy")</f>
        <v>07/02/2007</v>
      </c>
      <c r="E354" s="16" t="s">
        <v>13</v>
      </c>
      <c r="F354" s="16" t="s">
        <v>14</v>
      </c>
      <c r="G354" s="16">
        <v>20.9</v>
      </c>
      <c r="H354" s="7" t="s">
        <v>330</v>
      </c>
      <c r="I354" s="11"/>
    </row>
    <row r="355" spans="1:9" ht="16.5" customHeight="1" x14ac:dyDescent="0.25">
      <c r="A355" s="16">
        <v>7</v>
      </c>
      <c r="B355" s="16" t="str">
        <f>TEXT("006666","000000")</f>
        <v>006666</v>
      </c>
      <c r="C355" s="16" t="s">
        <v>340</v>
      </c>
      <c r="D355" s="16" t="str">
        <f>TEXT("09/08/2007","dd/mm/yyyy")</f>
        <v>09/08/2007</v>
      </c>
      <c r="E355" s="16" t="s">
        <v>20</v>
      </c>
      <c r="F355" s="16" t="s">
        <v>14</v>
      </c>
      <c r="G355" s="16">
        <v>20.45</v>
      </c>
      <c r="H355" s="7" t="s">
        <v>330</v>
      </c>
      <c r="I355" s="11"/>
    </row>
    <row r="356" spans="1:9" ht="16.5" customHeight="1" x14ac:dyDescent="0.25">
      <c r="A356" s="16">
        <v>8</v>
      </c>
      <c r="B356" s="16" t="str">
        <f>TEXT("007646","000000")</f>
        <v>007646</v>
      </c>
      <c r="C356" s="16" t="s">
        <v>341</v>
      </c>
      <c r="D356" s="16" t="str">
        <f>TEXT("31/12/2007","dd/mm/yyyy")</f>
        <v>31/12/2007</v>
      </c>
      <c r="E356" s="16" t="s">
        <v>20</v>
      </c>
      <c r="F356" s="16" t="s">
        <v>14</v>
      </c>
      <c r="G356" s="16">
        <v>18.8</v>
      </c>
      <c r="H356" s="7" t="s">
        <v>330</v>
      </c>
      <c r="I356" s="11"/>
    </row>
    <row r="357" spans="1:9" ht="16.5" customHeight="1" x14ac:dyDescent="0.25">
      <c r="A357" s="16">
        <v>9</v>
      </c>
      <c r="B357" s="16" t="str">
        <f>TEXT("007780","000000")</f>
        <v>007780</v>
      </c>
      <c r="C357" s="16" t="s">
        <v>342</v>
      </c>
      <c r="D357" s="16" t="str">
        <f>TEXT("25/10/2007","dd/mm/yyyy")</f>
        <v>25/10/2007</v>
      </c>
      <c r="E357" s="16" t="s">
        <v>20</v>
      </c>
      <c r="F357" s="16" t="s">
        <v>14</v>
      </c>
      <c r="G357" s="16">
        <v>19.850000000000001</v>
      </c>
      <c r="H357" s="7" t="s">
        <v>330</v>
      </c>
      <c r="I357" s="11"/>
    </row>
    <row r="358" spans="1:9" ht="16.5" customHeight="1" x14ac:dyDescent="0.25">
      <c r="A358" s="16">
        <v>10</v>
      </c>
      <c r="B358" s="16" t="str">
        <f>TEXT("010347","000000")</f>
        <v>010347</v>
      </c>
      <c r="C358" s="16" t="s">
        <v>343</v>
      </c>
      <c r="D358" s="16" t="str">
        <f>TEXT("28/08/2007","dd/mm/yyyy")</f>
        <v>28/08/2007</v>
      </c>
      <c r="E358" s="16" t="s">
        <v>13</v>
      </c>
      <c r="F358" s="16" t="s">
        <v>14</v>
      </c>
      <c r="G358" s="16">
        <v>18.2</v>
      </c>
      <c r="H358" s="7" t="s">
        <v>330</v>
      </c>
      <c r="I358" s="11"/>
    </row>
    <row r="359" spans="1:9" ht="16.5" customHeight="1" x14ac:dyDescent="0.25">
      <c r="A359" s="16">
        <v>11</v>
      </c>
      <c r="B359" s="16" t="str">
        <f>TEXT("010654","000000")</f>
        <v>010654</v>
      </c>
      <c r="C359" s="16" t="s">
        <v>344</v>
      </c>
      <c r="D359" s="16" t="str">
        <f>TEXT("28/05/2007","dd/mm/yyyy")</f>
        <v>28/05/2007</v>
      </c>
      <c r="E359" s="16" t="s">
        <v>13</v>
      </c>
      <c r="F359" s="16" t="s">
        <v>14</v>
      </c>
      <c r="G359" s="16">
        <v>19.149999999999999</v>
      </c>
      <c r="H359" s="7" t="s">
        <v>330</v>
      </c>
      <c r="I359" s="11"/>
    </row>
    <row r="360" spans="1:9" ht="16.5" customHeight="1" x14ac:dyDescent="0.25">
      <c r="A360" s="16">
        <v>12</v>
      </c>
      <c r="B360" s="16" t="str">
        <f>TEXT("012327","000000")</f>
        <v>012327</v>
      </c>
      <c r="C360" s="16" t="s">
        <v>345</v>
      </c>
      <c r="D360" s="16" t="str">
        <f>TEXT("26/09/2007","dd/mm/yyyy")</f>
        <v>26/09/2007</v>
      </c>
      <c r="E360" s="16" t="s">
        <v>13</v>
      </c>
      <c r="F360" s="16" t="s">
        <v>14</v>
      </c>
      <c r="G360" s="16">
        <v>17.350000000000001</v>
      </c>
      <c r="H360" s="7" t="s">
        <v>330</v>
      </c>
      <c r="I360" s="11"/>
    </row>
    <row r="361" spans="1:9" ht="16.5" customHeight="1" x14ac:dyDescent="0.25">
      <c r="A361" s="16">
        <v>13</v>
      </c>
      <c r="B361" s="16" t="str">
        <f>TEXT("012893","000000")</f>
        <v>012893</v>
      </c>
      <c r="C361" s="16" t="s">
        <v>346</v>
      </c>
      <c r="D361" s="16" t="str">
        <f>TEXT("31/05/2007","dd/mm/yyyy")</f>
        <v>31/05/2007</v>
      </c>
      <c r="E361" s="16" t="s">
        <v>13</v>
      </c>
      <c r="F361" s="16" t="s">
        <v>14</v>
      </c>
      <c r="G361" s="16">
        <v>16.850000000000001</v>
      </c>
      <c r="H361" s="7" t="s">
        <v>330</v>
      </c>
      <c r="I361" s="11"/>
    </row>
    <row r="362" spans="1:9" ht="16.5" customHeight="1" x14ac:dyDescent="0.25">
      <c r="A362" s="16">
        <v>14</v>
      </c>
      <c r="B362" s="16" t="str">
        <f>TEXT("013876","000000")</f>
        <v>013876</v>
      </c>
      <c r="C362" s="16" t="s">
        <v>347</v>
      </c>
      <c r="D362" s="16" t="str">
        <f>TEXT("16/10/2007","dd/mm/yyyy")</f>
        <v>16/10/2007</v>
      </c>
      <c r="E362" s="16" t="s">
        <v>13</v>
      </c>
      <c r="F362" s="16" t="s">
        <v>14</v>
      </c>
      <c r="G362" s="16">
        <v>21.95</v>
      </c>
      <c r="H362" s="7" t="s">
        <v>330</v>
      </c>
      <c r="I362" s="11"/>
    </row>
    <row r="363" spans="1:9" ht="16.5" customHeight="1" x14ac:dyDescent="0.25">
      <c r="A363" s="16">
        <v>15</v>
      </c>
      <c r="B363" s="16" t="str">
        <f>TEXT("014721","000000")</f>
        <v>014721</v>
      </c>
      <c r="C363" s="16" t="s">
        <v>348</v>
      </c>
      <c r="D363" s="16" t="str">
        <f>TEXT("19/11/2007","dd/mm/yyyy")</f>
        <v>19/11/2007</v>
      </c>
      <c r="E363" s="16" t="s">
        <v>20</v>
      </c>
      <c r="F363" s="16" t="s">
        <v>14</v>
      </c>
      <c r="G363" s="16">
        <v>16.2</v>
      </c>
      <c r="H363" s="7" t="s">
        <v>330</v>
      </c>
      <c r="I363" s="11"/>
    </row>
    <row r="364" spans="1:9" ht="16.5" customHeight="1" x14ac:dyDescent="0.25">
      <c r="A364" s="16">
        <v>16</v>
      </c>
      <c r="B364" s="16" t="str">
        <f>TEXT("015193","000000")</f>
        <v>015193</v>
      </c>
      <c r="C364" s="16" t="s">
        <v>349</v>
      </c>
      <c r="D364" s="16" t="str">
        <f>TEXT("29/12/2007","dd/mm/yyyy")</f>
        <v>29/12/2007</v>
      </c>
      <c r="E364" s="16" t="s">
        <v>13</v>
      </c>
      <c r="F364" s="16" t="s">
        <v>14</v>
      </c>
      <c r="G364" s="16">
        <v>20.6</v>
      </c>
      <c r="H364" s="7" t="s">
        <v>330</v>
      </c>
      <c r="I364" s="11"/>
    </row>
    <row r="365" spans="1:9" ht="16.5" customHeight="1" x14ac:dyDescent="0.25">
      <c r="A365" s="16">
        <v>17</v>
      </c>
      <c r="B365" s="16" t="str">
        <f>TEXT("017084","000000")</f>
        <v>017084</v>
      </c>
      <c r="C365" s="16" t="s">
        <v>350</v>
      </c>
      <c r="D365" s="16" t="str">
        <f>TEXT("06/11/2007","dd/mm/yyyy")</f>
        <v>06/11/2007</v>
      </c>
      <c r="E365" s="16" t="s">
        <v>13</v>
      </c>
      <c r="F365" s="16" t="s">
        <v>14</v>
      </c>
      <c r="G365" s="16">
        <v>23.65</v>
      </c>
      <c r="H365" s="7" t="s">
        <v>330</v>
      </c>
      <c r="I365" s="11"/>
    </row>
    <row r="366" spans="1:9" ht="16.5" customHeight="1" x14ac:dyDescent="0.25">
      <c r="A366" s="16">
        <v>18</v>
      </c>
      <c r="B366" s="16" t="str">
        <f>TEXT("000084","000000")</f>
        <v>000084</v>
      </c>
      <c r="C366" s="16" t="s">
        <v>351</v>
      </c>
      <c r="D366" s="16" t="str">
        <f>TEXT("10/08/2007","dd/mm/yyyy")</f>
        <v>10/08/2007</v>
      </c>
      <c r="E366" s="16" t="s">
        <v>20</v>
      </c>
      <c r="F366" s="16" t="s">
        <v>14</v>
      </c>
      <c r="G366" s="16">
        <v>18.45</v>
      </c>
      <c r="H366" s="7" t="s">
        <v>352</v>
      </c>
      <c r="I366" s="11"/>
    </row>
    <row r="367" spans="1:9" ht="16.5" customHeight="1" x14ac:dyDescent="0.25">
      <c r="A367" s="16">
        <v>19</v>
      </c>
      <c r="B367" s="16" t="str">
        <f>TEXT("000203","000000")</f>
        <v>000203</v>
      </c>
      <c r="C367" s="16" t="s">
        <v>353</v>
      </c>
      <c r="D367" s="16" t="str">
        <f>TEXT("26/11/2007","dd/mm/yyyy")</f>
        <v>26/11/2007</v>
      </c>
      <c r="E367" s="16" t="s">
        <v>13</v>
      </c>
      <c r="F367" s="16" t="s">
        <v>14</v>
      </c>
      <c r="G367" s="16">
        <v>17.850000000000001</v>
      </c>
      <c r="H367" s="7" t="s">
        <v>352</v>
      </c>
      <c r="I367" s="11"/>
    </row>
    <row r="368" spans="1:9" ht="16.5" customHeight="1" x14ac:dyDescent="0.25">
      <c r="A368" s="16">
        <v>20</v>
      </c>
      <c r="B368" s="16" t="str">
        <f>TEXT("001565","000000")</f>
        <v>001565</v>
      </c>
      <c r="C368" s="16" t="s">
        <v>354</v>
      </c>
      <c r="D368" s="16" t="str">
        <f>TEXT("02/07/2007","dd/mm/yyyy")</f>
        <v>02/07/2007</v>
      </c>
      <c r="E368" s="16" t="s">
        <v>20</v>
      </c>
      <c r="F368" s="16" t="s">
        <v>14</v>
      </c>
      <c r="G368" s="16">
        <v>20.3</v>
      </c>
      <c r="H368" s="7" t="s">
        <v>352</v>
      </c>
      <c r="I368" s="11"/>
    </row>
    <row r="369" spans="1:9" ht="16.5" customHeight="1" x14ac:dyDescent="0.25">
      <c r="A369" s="16">
        <v>21</v>
      </c>
      <c r="B369" s="16" t="str">
        <f>TEXT("003168","000000")</f>
        <v>003168</v>
      </c>
      <c r="C369" s="16" t="s">
        <v>355</v>
      </c>
      <c r="D369" s="16" t="str">
        <f>TEXT("22/10/2007","dd/mm/yyyy")</f>
        <v>22/10/2007</v>
      </c>
      <c r="E369" s="16" t="s">
        <v>20</v>
      </c>
      <c r="F369" s="16" t="s">
        <v>14</v>
      </c>
      <c r="G369" s="16">
        <v>17.649999999999999</v>
      </c>
      <c r="H369" s="7" t="s">
        <v>352</v>
      </c>
      <c r="I369" s="11"/>
    </row>
    <row r="370" spans="1:9" ht="16.5" customHeight="1" x14ac:dyDescent="0.25">
      <c r="A370" s="16">
        <v>22</v>
      </c>
      <c r="B370" s="16" t="str">
        <f>TEXT("004319","000000")</f>
        <v>004319</v>
      </c>
      <c r="C370" s="16" t="s">
        <v>356</v>
      </c>
      <c r="D370" s="16" t="str">
        <f>TEXT("26/09/2007","dd/mm/yyyy")</f>
        <v>26/09/2007</v>
      </c>
      <c r="E370" s="16" t="s">
        <v>20</v>
      </c>
      <c r="F370" s="16" t="s">
        <v>14</v>
      </c>
      <c r="G370" s="16">
        <v>17.100000000000001</v>
      </c>
      <c r="H370" s="7" t="s">
        <v>352</v>
      </c>
      <c r="I370" s="11"/>
    </row>
    <row r="371" spans="1:9" ht="16.5" customHeight="1" x14ac:dyDescent="0.25">
      <c r="A371" s="16">
        <v>23</v>
      </c>
      <c r="B371" s="16" t="str">
        <f>TEXT("005433","000000")</f>
        <v>005433</v>
      </c>
      <c r="C371" s="16" t="s">
        <v>357</v>
      </c>
      <c r="D371" s="16" t="str">
        <f>TEXT("20/10/2007","dd/mm/yyyy")</f>
        <v>20/10/2007</v>
      </c>
      <c r="E371" s="16" t="s">
        <v>13</v>
      </c>
      <c r="F371" s="16" t="s">
        <v>14</v>
      </c>
      <c r="G371" s="16">
        <v>18.5</v>
      </c>
      <c r="H371" s="7" t="s">
        <v>352</v>
      </c>
      <c r="I371" s="11"/>
    </row>
    <row r="372" spans="1:9" ht="16.5" customHeight="1" x14ac:dyDescent="0.25">
      <c r="A372" s="16">
        <v>24</v>
      </c>
      <c r="B372" s="16" t="str">
        <f>TEXT("005583","000000")</f>
        <v>005583</v>
      </c>
      <c r="C372" s="16" t="s">
        <v>358</v>
      </c>
      <c r="D372" s="16" t="str">
        <f>TEXT("23/02/2007","dd/mm/yyyy")</f>
        <v>23/02/2007</v>
      </c>
      <c r="E372" s="16" t="s">
        <v>20</v>
      </c>
      <c r="F372" s="16" t="s">
        <v>14</v>
      </c>
      <c r="G372" s="16">
        <v>17.55</v>
      </c>
      <c r="H372" s="7" t="s">
        <v>352</v>
      </c>
      <c r="I372" s="11"/>
    </row>
    <row r="373" spans="1:9" ht="16.5" customHeight="1" x14ac:dyDescent="0.25">
      <c r="A373" s="16">
        <v>25</v>
      </c>
      <c r="B373" s="16" t="str">
        <f>TEXT("005995","000000")</f>
        <v>005995</v>
      </c>
      <c r="C373" s="16" t="s">
        <v>359</v>
      </c>
      <c r="D373" s="16" t="str">
        <f>TEXT("19/12/2007","dd/mm/yyyy")</f>
        <v>19/12/2007</v>
      </c>
      <c r="E373" s="16" t="s">
        <v>20</v>
      </c>
      <c r="F373" s="16" t="s">
        <v>14</v>
      </c>
      <c r="G373" s="16">
        <v>19.8</v>
      </c>
      <c r="H373" s="7" t="s">
        <v>352</v>
      </c>
      <c r="I373" s="11"/>
    </row>
    <row r="374" spans="1:9" ht="16.5" customHeight="1" x14ac:dyDescent="0.25">
      <c r="A374" s="16">
        <v>26</v>
      </c>
      <c r="B374" s="16" t="str">
        <f>TEXT("006507","000000")</f>
        <v>006507</v>
      </c>
      <c r="C374" s="16" t="s">
        <v>360</v>
      </c>
      <c r="D374" s="16" t="str">
        <f>TEXT("29/11/2007","dd/mm/yyyy")</f>
        <v>29/11/2007</v>
      </c>
      <c r="E374" s="16" t="s">
        <v>20</v>
      </c>
      <c r="F374" s="16" t="s">
        <v>14</v>
      </c>
      <c r="G374" s="16">
        <v>20.65</v>
      </c>
      <c r="H374" s="7" t="s">
        <v>352</v>
      </c>
      <c r="I374" s="11"/>
    </row>
    <row r="375" spans="1:9" ht="16.5" customHeight="1" x14ac:dyDescent="0.25">
      <c r="A375" s="16">
        <v>27</v>
      </c>
      <c r="B375" s="16" t="str">
        <f>TEXT("006533","000000")</f>
        <v>006533</v>
      </c>
      <c r="C375" s="16" t="s">
        <v>361</v>
      </c>
      <c r="D375" s="16" t="str">
        <f>TEXT("10/12/2007","dd/mm/yyyy")</f>
        <v>10/12/2007</v>
      </c>
      <c r="E375" s="16" t="s">
        <v>20</v>
      </c>
      <c r="F375" s="16" t="s">
        <v>14</v>
      </c>
      <c r="G375" s="16">
        <v>17.2</v>
      </c>
      <c r="H375" s="7" t="s">
        <v>352</v>
      </c>
      <c r="I375" s="11"/>
    </row>
    <row r="376" spans="1:9" ht="16.5" customHeight="1" x14ac:dyDescent="0.25">
      <c r="A376" s="16">
        <v>28</v>
      </c>
      <c r="B376" s="16" t="str">
        <f>TEXT("014953","000000")</f>
        <v>014953</v>
      </c>
      <c r="C376" s="16" t="s">
        <v>362</v>
      </c>
      <c r="D376" s="16" t="str">
        <f>TEXT("18/08/2007","dd/mm/yyyy")</f>
        <v>18/08/2007</v>
      </c>
      <c r="E376" s="16" t="s">
        <v>13</v>
      </c>
      <c r="F376" s="16" t="s">
        <v>14</v>
      </c>
      <c r="G376" s="16">
        <v>19.7</v>
      </c>
      <c r="H376" s="7" t="s">
        <v>352</v>
      </c>
      <c r="I376" s="11"/>
    </row>
    <row r="377" spans="1:9" ht="16.5" customHeight="1" x14ac:dyDescent="0.25">
      <c r="A377" s="16">
        <v>29</v>
      </c>
      <c r="B377" s="16" t="str">
        <f>TEXT("000093","000000")</f>
        <v>000093</v>
      </c>
      <c r="C377" s="16" t="s">
        <v>363</v>
      </c>
      <c r="D377" s="16" t="str">
        <f>TEXT("17/08/2007","dd/mm/yyyy")</f>
        <v>17/08/2007</v>
      </c>
      <c r="E377" s="16" t="s">
        <v>20</v>
      </c>
      <c r="F377" s="16" t="s">
        <v>14</v>
      </c>
      <c r="G377" s="16">
        <v>18.45</v>
      </c>
      <c r="H377" s="7" t="s">
        <v>364</v>
      </c>
      <c r="I377" s="11"/>
    </row>
    <row r="378" spans="1:9" ht="16.5" customHeight="1" x14ac:dyDescent="0.25">
      <c r="A378" s="16">
        <v>30</v>
      </c>
      <c r="B378" s="16" t="str">
        <f>TEXT("000477","000000")</f>
        <v>000477</v>
      </c>
      <c r="C378" s="16" t="s">
        <v>365</v>
      </c>
      <c r="D378" s="16" t="str">
        <f>TEXT("30/08/2007","dd/mm/yyyy")</f>
        <v>30/08/2007</v>
      </c>
      <c r="E378" s="16" t="s">
        <v>20</v>
      </c>
      <c r="F378" s="16" t="s">
        <v>14</v>
      </c>
      <c r="G378" s="16">
        <v>16.8</v>
      </c>
      <c r="H378" s="7" t="s">
        <v>364</v>
      </c>
      <c r="I378" s="11"/>
    </row>
    <row r="379" spans="1:9" ht="16.5" customHeight="1" x14ac:dyDescent="0.25">
      <c r="A379" s="16">
        <v>31</v>
      </c>
      <c r="B379" s="16" t="str">
        <f>TEXT("000710","000000")</f>
        <v>000710</v>
      </c>
      <c r="C379" s="16" t="s">
        <v>366</v>
      </c>
      <c r="D379" s="16" t="str">
        <f>TEXT("18/08/2007","dd/mm/yyyy")</f>
        <v>18/08/2007</v>
      </c>
      <c r="E379" s="16" t="s">
        <v>20</v>
      </c>
      <c r="F379" s="16" t="s">
        <v>14</v>
      </c>
      <c r="G379" s="16">
        <v>18.75</v>
      </c>
      <c r="H379" s="7" t="s">
        <v>364</v>
      </c>
      <c r="I379" s="11"/>
    </row>
    <row r="380" spans="1:9" ht="16.5" customHeight="1" x14ac:dyDescent="0.25">
      <c r="A380" s="16">
        <v>32</v>
      </c>
      <c r="B380" s="16" t="str">
        <f>TEXT("005389","000000")</f>
        <v>005389</v>
      </c>
      <c r="C380" s="16" t="s">
        <v>367</v>
      </c>
      <c r="D380" s="16" t="str">
        <f>TEXT("13/11/2007","dd/mm/yyyy")</f>
        <v>13/11/2007</v>
      </c>
      <c r="E380" s="16" t="s">
        <v>20</v>
      </c>
      <c r="F380" s="16" t="s">
        <v>14</v>
      </c>
      <c r="G380" s="16">
        <v>17.5</v>
      </c>
      <c r="H380" s="7" t="s">
        <v>364</v>
      </c>
      <c r="I380" s="11"/>
    </row>
    <row r="381" spans="1:9" ht="16.5" customHeight="1" x14ac:dyDescent="0.25">
      <c r="A381" s="16">
        <v>33</v>
      </c>
      <c r="B381" s="16" t="str">
        <f>TEXT("005992","000000")</f>
        <v>005992</v>
      </c>
      <c r="C381" s="16" t="s">
        <v>368</v>
      </c>
      <c r="D381" s="16" t="str">
        <f>TEXT("29/04/2007","dd/mm/yyyy")</f>
        <v>29/04/2007</v>
      </c>
      <c r="E381" s="16" t="s">
        <v>20</v>
      </c>
      <c r="F381" s="16" t="s">
        <v>14</v>
      </c>
      <c r="G381" s="16">
        <v>18.3</v>
      </c>
      <c r="H381" s="7" t="s">
        <v>364</v>
      </c>
      <c r="I381" s="11"/>
    </row>
    <row r="382" spans="1:9" ht="16.5" customHeight="1" x14ac:dyDescent="0.25">
      <c r="A382" s="16">
        <v>34</v>
      </c>
      <c r="B382" s="16" t="str">
        <f>TEXT("008011","000000")</f>
        <v>008011</v>
      </c>
      <c r="C382" s="16" t="s">
        <v>369</v>
      </c>
      <c r="D382" s="16" t="str">
        <f>TEXT("03/05/2007","dd/mm/yyyy")</f>
        <v>03/05/2007</v>
      </c>
      <c r="E382" s="16" t="s">
        <v>13</v>
      </c>
      <c r="F382" s="16" t="s">
        <v>14</v>
      </c>
      <c r="G382" s="16">
        <v>19.55</v>
      </c>
      <c r="H382" s="7" t="s">
        <v>364</v>
      </c>
      <c r="I382" s="11"/>
    </row>
    <row r="383" spans="1:9" ht="16.5" customHeight="1" x14ac:dyDescent="0.25">
      <c r="A383" s="16">
        <v>35</v>
      </c>
      <c r="B383" s="16" t="str">
        <f>TEXT("008114","000000")</f>
        <v>008114</v>
      </c>
      <c r="C383" s="16" t="s">
        <v>370</v>
      </c>
      <c r="D383" s="16" t="str">
        <f>TEXT("13/12/2007","dd/mm/yyyy")</f>
        <v>13/12/2007</v>
      </c>
      <c r="E383" s="16" t="s">
        <v>20</v>
      </c>
      <c r="F383" s="16" t="s">
        <v>14</v>
      </c>
      <c r="G383" s="16">
        <v>18.8</v>
      </c>
      <c r="H383" s="7" t="s">
        <v>364</v>
      </c>
      <c r="I383" s="11"/>
    </row>
    <row r="384" spans="1:9" ht="16.5" customHeight="1" x14ac:dyDescent="0.25">
      <c r="A384" s="16">
        <v>36</v>
      </c>
      <c r="B384" s="16" t="str">
        <f>TEXT("008231","000000")</f>
        <v>008231</v>
      </c>
      <c r="C384" s="16" t="s">
        <v>371</v>
      </c>
      <c r="D384" s="16" t="str">
        <f>TEXT("16/10/2007","dd/mm/yyyy")</f>
        <v>16/10/2007</v>
      </c>
      <c r="E384" s="16" t="s">
        <v>13</v>
      </c>
      <c r="F384" s="16" t="s">
        <v>14</v>
      </c>
      <c r="G384" s="16">
        <v>16.2</v>
      </c>
      <c r="H384" s="7" t="s">
        <v>364</v>
      </c>
      <c r="I384" s="11"/>
    </row>
    <row r="385" spans="1:9" ht="16.5" customHeight="1" x14ac:dyDescent="0.25">
      <c r="A385" s="16">
        <v>37</v>
      </c>
      <c r="B385" s="16" t="str">
        <f>TEXT("010386","000000")</f>
        <v>010386</v>
      </c>
      <c r="C385" s="16" t="s">
        <v>372</v>
      </c>
      <c r="D385" s="16" t="str">
        <f>TEXT("06/11/2007","dd/mm/yyyy")</f>
        <v>06/11/2007</v>
      </c>
      <c r="E385" s="16" t="s">
        <v>13</v>
      </c>
      <c r="F385" s="16" t="s">
        <v>14</v>
      </c>
      <c r="G385" s="16">
        <v>17</v>
      </c>
      <c r="H385" s="7" t="s">
        <v>364</v>
      </c>
      <c r="I385" s="11"/>
    </row>
    <row r="386" spans="1:9" ht="16.5" customHeight="1" x14ac:dyDescent="0.25">
      <c r="A386" s="16">
        <v>38</v>
      </c>
      <c r="B386" s="16" t="str">
        <f>TEXT("012457","000000")</f>
        <v>012457</v>
      </c>
      <c r="C386" s="16" t="s">
        <v>373</v>
      </c>
      <c r="D386" s="16" t="str">
        <f>TEXT("09/11/2007","dd/mm/yyyy")</f>
        <v>09/11/2007</v>
      </c>
      <c r="E386" s="16" t="s">
        <v>20</v>
      </c>
      <c r="F386" s="16" t="s">
        <v>14</v>
      </c>
      <c r="G386" s="16">
        <v>17.2</v>
      </c>
      <c r="H386" s="7" t="s">
        <v>364</v>
      </c>
      <c r="I386" s="11"/>
    </row>
    <row r="387" spans="1:9" ht="16.5" customHeight="1" x14ac:dyDescent="0.25">
      <c r="A387" s="16">
        <v>39</v>
      </c>
      <c r="B387" s="16" t="str">
        <f>TEXT("013283","000000")</f>
        <v>013283</v>
      </c>
      <c r="C387" s="16" t="s">
        <v>374</v>
      </c>
      <c r="D387" s="16" t="str">
        <f>TEXT("23/05/2007","dd/mm/yyyy")</f>
        <v>23/05/2007</v>
      </c>
      <c r="E387" s="16" t="s">
        <v>20</v>
      </c>
      <c r="F387" s="16" t="s">
        <v>14</v>
      </c>
      <c r="G387" s="16">
        <v>17.2</v>
      </c>
      <c r="H387" s="7" t="s">
        <v>364</v>
      </c>
      <c r="I387" s="11"/>
    </row>
    <row r="388" spans="1:9" ht="16.5" customHeight="1" x14ac:dyDescent="0.25">
      <c r="A388" s="16">
        <v>40</v>
      </c>
      <c r="B388" s="16" t="str">
        <f>TEXT("014055","000000")</f>
        <v>014055</v>
      </c>
      <c r="C388" s="16" t="s">
        <v>375</v>
      </c>
      <c r="D388" s="16" t="str">
        <f>TEXT("13/03/2007","dd/mm/yyyy")</f>
        <v>13/03/2007</v>
      </c>
      <c r="E388" s="16" t="s">
        <v>20</v>
      </c>
      <c r="F388" s="16" t="s">
        <v>14</v>
      </c>
      <c r="G388" s="16">
        <v>17.350000000000001</v>
      </c>
      <c r="H388" s="7" t="s">
        <v>364</v>
      </c>
      <c r="I388" s="11"/>
    </row>
    <row r="389" spans="1:9" ht="16.5" customHeight="1" x14ac:dyDescent="0.25">
      <c r="A389" s="16">
        <v>41</v>
      </c>
      <c r="B389" s="16" t="str">
        <f>TEXT("016980","000000")</f>
        <v>016980</v>
      </c>
      <c r="C389" s="16" t="s">
        <v>376</v>
      </c>
      <c r="D389" s="16" t="str">
        <f>TEXT("24/06/2007","dd/mm/yyyy")</f>
        <v>24/06/2007</v>
      </c>
      <c r="E389" s="16" t="s">
        <v>13</v>
      </c>
      <c r="F389" s="16" t="s">
        <v>14</v>
      </c>
      <c r="G389" s="16">
        <v>16.8</v>
      </c>
      <c r="H389" s="7" t="s">
        <v>364</v>
      </c>
      <c r="I389" s="11"/>
    </row>
    <row r="390" spans="1:9" ht="16.5" customHeight="1" x14ac:dyDescent="0.25">
      <c r="A390" s="16">
        <v>42</v>
      </c>
      <c r="B390" s="16" t="str">
        <f>TEXT("010310","000000")</f>
        <v>010310</v>
      </c>
      <c r="C390" s="16" t="s">
        <v>377</v>
      </c>
      <c r="D390" s="16" t="str">
        <f>TEXT("29/09/2007","dd/mm/yyyy")</f>
        <v>29/09/2007</v>
      </c>
      <c r="E390" s="16" t="s">
        <v>13</v>
      </c>
      <c r="F390" s="16" t="s">
        <v>14</v>
      </c>
      <c r="G390" s="16">
        <v>19</v>
      </c>
      <c r="H390" s="8"/>
      <c r="I390" s="11"/>
    </row>
  </sheetData>
  <sortState ref="A6:I355">
    <sortCondition ref="H6:H355"/>
  </sortState>
  <mergeCells count="40">
    <mergeCell ref="A1:F1"/>
    <mergeCell ref="A2:F2"/>
    <mergeCell ref="G2:H2"/>
    <mergeCell ref="A3:F3"/>
    <mergeCell ref="A4:I4"/>
    <mergeCell ref="A149:F149"/>
    <mergeCell ref="G149:H149"/>
    <mergeCell ref="A50:F50"/>
    <mergeCell ref="A51:F51"/>
    <mergeCell ref="G51:H51"/>
    <mergeCell ref="A52:F52"/>
    <mergeCell ref="A53:I53"/>
    <mergeCell ref="A99:F99"/>
    <mergeCell ref="A100:F100"/>
    <mergeCell ref="G100:H100"/>
    <mergeCell ref="A101:F101"/>
    <mergeCell ref="A102:I102"/>
    <mergeCell ref="A148:F148"/>
    <mergeCell ref="A249:I249"/>
    <mergeCell ref="A150:F150"/>
    <mergeCell ref="A151:I151"/>
    <mergeCell ref="A197:F197"/>
    <mergeCell ref="A198:F198"/>
    <mergeCell ref="G198:H198"/>
    <mergeCell ref="A199:F199"/>
    <mergeCell ref="A200:I200"/>
    <mergeCell ref="A246:F246"/>
    <mergeCell ref="A247:F247"/>
    <mergeCell ref="G247:H247"/>
    <mergeCell ref="A248:F248"/>
    <mergeCell ref="A345:F345"/>
    <mergeCell ref="G345:H345"/>
    <mergeCell ref="A346:F346"/>
    <mergeCell ref="A347:I347"/>
    <mergeCell ref="A295:F295"/>
    <mergeCell ref="A296:F296"/>
    <mergeCell ref="G296:H296"/>
    <mergeCell ref="A297:F297"/>
    <mergeCell ref="A298:I298"/>
    <mergeCell ref="A344:F344"/>
  </mergeCells>
  <pageMargins left="0.2" right="0.2" top="0.31" bottom="0.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chia phòng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CHAU</dc:creator>
  <cp:lastModifiedBy>THPT Minh Châu</cp:lastModifiedBy>
  <cp:lastPrinted>2022-06-30T08:55:36Z</cp:lastPrinted>
  <dcterms:created xsi:type="dcterms:W3CDTF">2022-06-25T03:29:57Z</dcterms:created>
  <dcterms:modified xsi:type="dcterms:W3CDTF">2022-07-01T02:42:33Z</dcterms:modified>
</cp:coreProperties>
</file>